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xl/comments4.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drawings/vmlDrawing2.vml" ContentType="application/vnd.openxmlformats-officedocument.vmlDrawing"/>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omments5.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Data" sheetId="2" state="visible" r:id="rId4"/>
    <sheet name="Days" sheetId="3" state="hidden" r:id="rId5"/>
    <sheet name="Weekday pattern" sheetId="4" state="visible" r:id="rId6"/>
    <sheet name="Forecast" sheetId="5" state="visible" r:id="rId7"/>
    <sheet name="Accuracy" sheetId="6" state="visible" r:id="rId8"/>
    <sheet name="Practice" sheetId="7" state="visible" r:id="rId9"/>
  </sheets>
  <calcPr iterateCount="100" refMode="A1" iterate="false" iterateDelta="0.0001"/>
  <extLst>
    <ext xmlns:loext="http://schemas.libreoffice.org/" uri="{7626C862-2A13-11E5-B345-FEFF819CDC9F}">
      <loext:extCalcPr stringRefSyntax="ExcelA1"/>
    </ext>
  </extLst>
</workbook>
</file>

<file path=xl/comments4.xml><?xml version="1.0" encoding="utf-8"?>
<comments xmlns="http://schemas.openxmlformats.org/spreadsheetml/2006/main" xmlns:xdr="http://schemas.openxmlformats.org/drawingml/2006/spreadsheetDrawing">
  <authors>
    <author>Unknown Author</author>
  </authors>
  <commentList>
    <comment ref="C4" authorId="0">
      <text>
        <r>
          <rPr>
            <sz val="10"/>
            <rFont val="Arial"/>
            <family val="2"/>
          </rPr>
          <t xml:space="preserve">Input. Try 4, 8 or 12. Fewer weeks react faster to change; more weeks are steadier.</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D5" authorId="0">
      <text>
        <r>
          <rPr>
            <sz val="10"/>
            <rFont val="Arial"/>
            <family val="2"/>
          </rPr>
          <t xml:space="preserve">Input. 0.5% a week is the invented trend in the data. Set 0% for a flat forecast.</t>
        </r>
      </text>
    </comment>
  </commentList>
</comments>
</file>

<file path=xl/sharedStrings.xml><?xml version="1.0" encoding="utf-8"?>
<sst xmlns="http://schemas.openxmlformats.org/spreadsheetml/2006/main" count="90" uniqueCount="80">
  <si>
    <t xml:space="preserve">WFM in Excel · Part 1 of 6</t>
  </si>
  <si>
    <t xml:space="preserve">Forecast the work</t>
  </si>
  <si>
    <t xml:space="preserve">Every staffing plan starts with a forecast: how much work will arrive, and when. In this workbook you find the weekly pattern in 26 weeks of contacts, forecast the next four weeks, and test whether the forecast would have worked.</t>
  </si>
  <si>
    <t xml:space="preserve">What you will learn</t>
  </si>
  <si>
    <t xml:space="preserve">1. Find the weekly pattern with AVERAGEIFS and turn it into a seasonal index.</t>
  </si>
  <si>
    <t xml:space="preserve">2. Build a forecast from a base, a seasonal index and weekly growth.</t>
  </si>
  <si>
    <t xml:space="preserve">3. Choose the history window, and see why it matters.</t>
  </si>
  <si>
    <t xml:space="preserve">4. Backtest the forecast and read MAPE, WAPE and bias.</t>
  </si>
  <si>
    <t xml:space="preserve">5. Practise with five questions that check themselves.</t>
  </si>
  <si>
    <t xml:space="preserve">How to use it</t>
  </si>
  <si>
    <t xml:space="preserve">Go through the tabs in order: Weekday pattern, Forecast, Accuracy, Practice. Data holds the history.</t>
  </si>
  <si>
    <t xml:space="preserve">Blue text on light blue = an input you can change.   Yellow = your answer.   Green = a value read from another sheet.   Black = a formula.</t>
  </si>
  <si>
    <t xml:space="preserve">Next in the series</t>
  </si>
  <si>
    <t xml:space="preserve">Part 2: Turn contacts into hours (handle time and workload).  Part 3: Staff it with Erlang C.  Part 4: Shrinkage and the roster.  Part 5: Intraday, plan against actual.  Part 6: A WFM dashboard.</t>
  </si>
  <si>
    <t xml:space="preserve">All data is invented for practice. Built by Rimi Lab, rimilab.com. Free to use for learning. Please share the link rather than the file.</t>
  </si>
  <si>
    <t xml:space="preserve">Daily contacts, 26 weeks (invented)</t>
  </si>
  <si>
    <t xml:space="preserve">Contacts = calls, chats and emails offered to the team each day. Invented from a fixed seed for practice. Do not edit this sheet; the other sheets read from it.</t>
  </si>
  <si>
    <t xml:space="preserve">Date</t>
  </si>
  <si>
    <t xml:space="preserve">Day no (Mon = 1)</t>
  </si>
  <si>
    <t xml:space="preserve">Day</t>
  </si>
  <si>
    <t xml:space="preserve">Week no</t>
  </si>
  <si>
    <t xml:space="preserve">Contacts</t>
  </si>
  <si>
    <t xml:space="preserve">Day no</t>
  </si>
  <si>
    <t xml:space="preserve">Mon</t>
  </si>
  <si>
    <t xml:space="preserve">Tue</t>
  </si>
  <si>
    <t xml:space="preserve">Wed</t>
  </si>
  <si>
    <t xml:space="preserve">Thu</t>
  </si>
  <si>
    <t xml:space="preserve">Fri</t>
  </si>
  <si>
    <t xml:space="preserve">Sat</t>
  </si>
  <si>
    <t xml:space="preserve">Sun</t>
  </si>
  <si>
    <t xml:space="preserve">Step 1. Find the weekly pattern</t>
  </si>
  <si>
    <t xml:space="preserve">Most contact centres are busiest on Monday and quietest at the weekend. We measure that shape as a "seasonal index": each day's average divided by the average of all days. An index of 1.20 means 20% busier than an average day.</t>
  </si>
  <si>
    <t xml:space="preserve">Weeks of history to use</t>
  </si>
  <si>
    <t xml:space="preserve">Last date in the data</t>
  </si>
  <si>
    <t xml:space="preserve">History starts on</t>
  </si>
  <si>
    <t xml:space="preserve">Average contacts per day</t>
  </si>
  <si>
    <t xml:space="preserve">Average contacts</t>
  </si>
  <si>
    <t xml:space="preserve">Seasonal index</t>
  </si>
  <si>
    <t xml:space="preserve">How to read it</t>
  </si>
  <si>
    <t xml:space="preserve">Check: the seven indexes average to 1</t>
  </si>
  <si>
    <t xml:space="preserve">Step 2. Forecast the next four weeks</t>
  </si>
  <si>
    <t xml:space="preserve">Forecast = base × seasonal index × growth. The base is the average day from the history window on the previous sheet. Growth is how much the work grows each week. Change the blue cells and watch the forecast move.</t>
  </si>
  <si>
    <t xml:space="preserve">Base: average contacts per day</t>
  </si>
  <si>
    <t xml:space="preserve">Weekly growth</t>
  </si>
  <si>
    <t xml:space="preserve">Forecast starts on</t>
  </si>
  <si>
    <t xml:space="preserve">Week ahead</t>
  </si>
  <si>
    <t xml:space="preserve">Growth factor</t>
  </si>
  <si>
    <t xml:space="preserve">Forecast contacts</t>
  </si>
  <si>
    <t xml:space="preserve">Step 3. Would it have worked? A backtest</t>
  </si>
  <si>
    <t xml:space="preserve">Pretend it is four weeks ago. Build the same forecast from the 8 weeks before that, then compare it with what really happened. MAPE is the average size of the miss in percent. WAPE weights big days more. Bias says whether the forecast leans high or low.</t>
  </si>
  <si>
    <t xml:space="preserve">Training window</t>
  </si>
  <si>
    <t xml:space="preserve">Base from training</t>
  </si>
  <si>
    <t xml:space="preserve">Weekly growth (from Forecast)</t>
  </si>
  <si>
    <t xml:space="preserve">Index (training)</t>
  </si>
  <si>
    <t xml:space="preserve">Forecast</t>
  </si>
  <si>
    <t xml:space="preserve">Actual</t>
  </si>
  <si>
    <t xml:space="preserve">Error (forecast - actual)</t>
  </si>
  <si>
    <t xml:space="preserve">Absolute % error</t>
  </si>
  <si>
    <t xml:space="preserve">MAPE: average absolute % error</t>
  </si>
  <si>
    <t xml:space="preserve">WAPE: total miss ÷ total actual</t>
  </si>
  <si>
    <t xml:space="preserve">Bias: (total forecast - total actual) ÷ total actual</t>
  </si>
  <si>
    <t xml:space="preserve">Reading</t>
  </si>
  <si>
    <t xml:space="preserve">Your turn: five questions</t>
  </si>
  <si>
    <t xml:space="preserve">Type your answer in the yellow cell. The Check column says Correct or Not yet. Work it out from the other sheets with your own formula, not by copying the number.</t>
  </si>
  <si>
    <t xml:space="preserve">#</t>
  </si>
  <si>
    <t xml:space="preserve">Question</t>
  </si>
  <si>
    <t xml:space="preserve">Hint</t>
  </si>
  <si>
    <t xml:space="preserve">Your answer</t>
  </si>
  <si>
    <t xml:space="preserve">Check</t>
  </si>
  <si>
    <t xml:space="preserve">What is the average Monday in the history window (8 weeks)?</t>
  </si>
  <si>
    <t xml:space="preserve">AVERAGEIFS on Data, with day no = 1 and date on or after the start date.</t>
  </si>
  <si>
    <t xml:space="preserve">What is the seasonal index for Saturday? (two decimals)</t>
  </si>
  <si>
    <t xml:space="preserve">Saturday's average divided by the average of all days.</t>
  </si>
  <si>
    <t xml:space="preserve">How many contacts are forecast for the whole of week 1?</t>
  </si>
  <si>
    <t xml:space="preserve">SUMIFS on the Forecast sheet where Week ahead = 1.</t>
  </si>
  <si>
    <t xml:space="preserve">What was the backtest MAPE? (as a %, one decimal)</t>
  </si>
  <si>
    <t xml:space="preserve">The average of the absolute % errors.</t>
  </si>
  <si>
    <t xml:space="preserve">Did the backtest forecast lean too high or too low? Type High or Low.</t>
  </si>
  <si>
    <t xml:space="preserve">Look at the sign of the bias.</t>
  </si>
  <si>
    <t xml:space="preserve">Then try: set the history window to 4 weeks, or growth to 0%, and see how the forecast and the backtest change. Which setting gives the lowest MAPE?</t>
  </si>
</sst>
</file>

<file path=xl/styles.xml><?xml version="1.0" encoding="utf-8"?>
<styleSheet xmlns="http://schemas.openxmlformats.org/spreadsheetml/2006/main">
  <numFmts count="11">
    <numFmt numFmtId="164" formatCode="General"/>
    <numFmt numFmtId="165" formatCode="ddd\ dd\ mmm\ yyyy"/>
    <numFmt numFmtId="166" formatCode="General"/>
    <numFmt numFmtId="167" formatCode="#,##0"/>
    <numFmt numFmtId="168" formatCode="0.00"/>
    <numFmt numFmtId="169" formatCode="0.0%"/>
    <numFmt numFmtId="170" formatCode="ddd\ dd\ mmm"/>
    <numFmt numFmtId="171" formatCode="0.000"/>
    <numFmt numFmtId="172" formatCode="#,##0;\-#,##0;0"/>
    <numFmt numFmtId="173" formatCode="\+0.0%;\-0.0%;0.0%"/>
    <numFmt numFmtId="174" formatCode="@"/>
  </numFmts>
  <fonts count="16">
    <font>
      <sz val="11"/>
      <color theme="1"/>
      <name val="Calibri"/>
      <family val="2"/>
      <charset val="1"/>
    </font>
    <font>
      <sz val="10"/>
      <name val="Arial"/>
      <family val="0"/>
    </font>
    <font>
      <sz val="10"/>
      <name val="Arial"/>
      <family val="0"/>
    </font>
    <font>
      <sz val="10"/>
      <name val="Arial"/>
      <family val="0"/>
    </font>
    <font>
      <i val="true"/>
      <sz val="9"/>
      <color rgb="FF55627F"/>
      <name val="Arial"/>
      <family val="0"/>
      <charset val="1"/>
    </font>
    <font>
      <b val="true"/>
      <sz val="18"/>
      <color rgb="FF14213D"/>
      <name val="Arial"/>
      <family val="0"/>
      <charset val="1"/>
    </font>
    <font>
      <sz val="10"/>
      <color rgb="FF14213D"/>
      <name val="Arial"/>
      <family val="0"/>
      <charset val="1"/>
    </font>
    <font>
      <b val="true"/>
      <sz val="12"/>
      <color rgb="FF14213D"/>
      <name val="Arial"/>
      <family val="0"/>
      <charset val="1"/>
    </font>
    <font>
      <b val="true"/>
      <sz val="10"/>
      <color rgb="FFFFFFFF"/>
      <name val="Arial"/>
      <family val="0"/>
      <charset val="1"/>
    </font>
    <font>
      <b val="true"/>
      <sz val="10"/>
      <color rgb="FF14213D"/>
      <name val="Arial"/>
      <family val="0"/>
      <charset val="1"/>
    </font>
    <font>
      <b val="true"/>
      <sz val="10"/>
      <color rgb="FF0000FF"/>
      <name val="Arial"/>
      <family val="0"/>
      <charset val="1"/>
    </font>
    <font>
      <sz val="10"/>
      <color rgb="FF008000"/>
      <name val="Arial"/>
      <family val="0"/>
      <charset val="1"/>
    </font>
    <font>
      <sz val="10"/>
      <name val="Arial"/>
      <family val="2"/>
    </font>
    <font>
      <b val="true"/>
      <sz val="18"/>
      <color rgb="FF000000"/>
      <name val="Calibri"/>
      <family val="2"/>
    </font>
    <font>
      <sz val="10"/>
      <color rgb="FF000000"/>
      <name val="Calibri"/>
      <family val="2"/>
    </font>
    <font>
      <b val="true"/>
      <sz val="10"/>
      <color rgb="FF000000"/>
      <name val="Calibri"/>
      <family val="2"/>
    </font>
  </fonts>
  <fills count="5">
    <fill>
      <patternFill patternType="none"/>
    </fill>
    <fill>
      <patternFill patternType="gray125"/>
    </fill>
    <fill>
      <patternFill patternType="solid">
        <fgColor rgb="FF14213D"/>
        <bgColor rgb="FF003366"/>
      </patternFill>
    </fill>
    <fill>
      <patternFill patternType="solid">
        <fgColor rgb="FFEAF0FF"/>
        <bgColor rgb="FFFFFFFF"/>
      </patternFill>
    </fill>
    <fill>
      <patternFill patternType="solid">
        <fgColor rgb="FFFFFF00"/>
        <bgColor rgb="FFFFFF00"/>
      </patternFill>
    </fill>
  </fills>
  <borders count="2">
    <border diagonalUp="false" diagonalDown="false">
      <left/>
      <right/>
      <top/>
      <bottom/>
      <diagonal/>
    </border>
    <border diagonalUp="false" diagonalDown="false">
      <left style="thin">
        <color rgb="FFD5DCEA"/>
      </left>
      <right style="thin">
        <color rgb="FFD5DCEA"/>
      </right>
      <top style="thin">
        <color rgb="FFD5DCEA"/>
      </top>
      <bottom style="thin">
        <color rgb="FFD5DCE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xf numFmtId="168" fontId="6" fillId="0"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8" fontId="4"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70" fontId="6" fillId="0" borderId="1" xfId="0" applyFont="true" applyBorder="true" applyAlignment="false" applyProtection="false">
      <alignment horizontal="general" vertical="bottom" textRotation="0" wrapText="false" indent="0" shrinkToFit="false"/>
      <protection locked="true" hidden="false"/>
    </xf>
    <xf numFmtId="171" fontId="6"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72" fontId="6" fillId="0" borderId="1" xfId="0" applyFont="true" applyBorder="true" applyAlignment="false" applyProtection="false">
      <alignment horizontal="general" vertical="bottom" textRotation="0" wrapText="false" indent="0" shrinkToFit="false"/>
      <protection locked="true" hidden="false"/>
    </xf>
    <xf numFmtId="169" fontId="6" fillId="0" borderId="1" xfId="0" applyFont="true" applyBorder="tru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73" fontId="9" fillId="0" borderId="0" xfId="0" applyFont="true" applyBorder="false" applyAlignment="false" applyProtection="false">
      <alignment horizontal="general" vertical="bottom" textRotation="0" wrapText="fals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7" fontId="10" fillId="4" borderId="1" xfId="0" applyFont="true" applyBorder="true" applyAlignment="true" applyProtection="false">
      <alignment horizontal="general" vertical="top" textRotation="0" wrapText="tru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8" fontId="10" fillId="4" borderId="1" xfId="0" applyFont="true" applyBorder="true" applyAlignment="true" applyProtection="false">
      <alignment horizontal="general" vertical="top" textRotation="0" wrapText="tru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9" fontId="10" fillId="4" borderId="1" xfId="0" applyFont="true" applyBorder="true" applyAlignment="true" applyProtection="false">
      <alignment horizontal="general" vertical="top" textRotation="0" wrapText="tru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74" fontId="10" fillId="4" borderId="1" xfId="0" applyFont="true" applyBorder="true" applyAlignment="true" applyProtection="false">
      <alignment horizontal="general" vertical="top" textRotation="0" wrapText="tru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BE4B48"/>
      <rgbColor rgb="FFFFFFCC"/>
      <rgbColor rgb="FFEAF0FF"/>
      <rgbColor rgb="FF660066"/>
      <rgbColor rgb="FFFF8080"/>
      <rgbColor rgb="FF0066CC"/>
      <rgbColor rgb="FFD5DCEA"/>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F5BEA"/>
      <rgbColor rgb="FF33CCCC"/>
      <rgbColor rgb="FF99CC00"/>
      <rgbColor rgb="FFFFC53D"/>
      <rgbColor rgb="FFFF9900"/>
      <rgbColor rgb="FFFF6600"/>
      <rgbColor rgb="FF55627F"/>
      <rgbColor rgb="FF4F81BD"/>
      <rgbColor rgb="FF003366"/>
      <rgbColor rgb="FF4A7EBB"/>
      <rgbColor rgb="FF003300"/>
      <rgbColor rgb="FF333300"/>
      <rgbColor rgb="FF993300"/>
      <rgbColor rgb="FF993366"/>
      <rgbColor rgb="FF333399"/>
      <rgbColor rgb="FF1421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Seasonal index by day</a:t>
            </a:r>
          </a:p>
        </c:rich>
      </c:tx>
      <c:overlay val="0"/>
      <c:spPr>
        <a:noFill/>
        <a:ln w="0">
          <a:noFill/>
        </a:ln>
      </c:spPr>
    </c:title>
    <c:autoTitleDeleted val="0"/>
    <c:plotArea>
      <c:barChart>
        <c:barDir val="col"/>
        <c:grouping val="clustered"/>
        <c:varyColors val="0"/>
        <c:ser>
          <c:idx val="0"/>
          <c:order val="0"/>
          <c:tx>
            <c:strRef>
              <c:f>'Weekday pattern'!D9</c:f>
              <c:strCache>
                <c:ptCount val="1"/>
                <c:pt idx="0">
                  <c:v>Seasonal index</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'Weekday pattern'!$B$10:$B$16</c:f>
              <c:strCache>
                <c:ptCount val="7"/>
                <c:pt idx="0">
                  <c:v>Mon</c:v>
                </c:pt>
                <c:pt idx="1">
                  <c:v>Tue</c:v>
                </c:pt>
                <c:pt idx="2">
                  <c:v>Wed</c:v>
                </c:pt>
                <c:pt idx="3">
                  <c:v>Thu</c:v>
                </c:pt>
                <c:pt idx="4">
                  <c:v>Fri</c:v>
                </c:pt>
                <c:pt idx="5">
                  <c:v>Sat</c:v>
                </c:pt>
                <c:pt idx="6">
                  <c:v>Sun</c:v>
                </c:pt>
              </c:strCache>
            </c:strRef>
          </c:cat>
          <c:val>
            <c:numRef>
              <c:f>'Weekday pattern'!$D$10:$D$16</c:f>
              <c:numCache>
                <c:formatCode>0.00</c:formatCode>
                <c:ptCount val="7"/>
                <c:pt idx="0">
                  <c:v>1.24979486420683</c:v>
                </c:pt>
                <c:pt idx="1">
                  <c:v>1.12861005367159</c:v>
                </c:pt>
                <c:pt idx="2">
                  <c:v>1.09292315142384</c:v>
                </c:pt>
                <c:pt idx="3">
                  <c:v>1.02672818498541</c:v>
                </c:pt>
                <c:pt idx="4">
                  <c:v>0.96618286006376</c:v>
                </c:pt>
                <c:pt idx="5">
                  <c:v>0.779273886549818</c:v>
                </c:pt>
                <c:pt idx="6">
                  <c:v>0.756486999098748</c:v>
                </c:pt>
              </c:numCache>
            </c:numRef>
          </c:val>
        </c:ser>
        <c:gapWidth val="150"/>
        <c:overlap val="0"/>
        <c:axId val="20281513"/>
        <c:axId val="88502734"/>
      </c:barChart>
      <c:catAx>
        <c:axId val="2028151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8502734"/>
        <c:crosses val="autoZero"/>
        <c:auto val="1"/>
        <c:lblAlgn val="ctr"/>
        <c:lblOffset val="100"/>
        <c:noMultiLvlLbl val="0"/>
      </c:catAx>
      <c:valAx>
        <c:axId val="88502734"/>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Index</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028151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Forecast, next 28 days</a:t>
            </a:r>
          </a:p>
        </c:rich>
      </c:tx>
      <c:overlay val="0"/>
      <c:spPr>
        <a:noFill/>
        <a:ln w="0">
          <a:noFill/>
        </a:ln>
      </c:spPr>
    </c:title>
    <c:autoTitleDeleted val="0"/>
    <c:plotArea>
      <c:lineChart>
        <c:grouping val="standard"/>
        <c:varyColors val="0"/>
        <c:ser>
          <c:idx val="0"/>
          <c:order val="0"/>
          <c:tx>
            <c:strRef>
              <c:f>Forecast!F8</c:f>
              <c:strCache>
                <c:ptCount val="1"/>
                <c:pt idx="0">
                  <c:v>Forecast contacts</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Forecast!$B$9:$B$36</c:f>
              <c:strCache>
                <c:ptCount val="28"/>
                <c:pt idx="0">
                  <c:v>Mon</c:v>
                </c:pt>
                <c:pt idx="1">
                  <c:v>Tue</c:v>
                </c:pt>
                <c:pt idx="2">
                  <c:v>Wed</c:v>
                </c:pt>
                <c:pt idx="3">
                  <c:v>Thu</c:v>
                </c:pt>
                <c:pt idx="4">
                  <c:v>Fri</c:v>
                </c:pt>
                <c:pt idx="5">
                  <c:v>Sat</c:v>
                </c:pt>
                <c:pt idx="6">
                  <c:v>Sun</c:v>
                </c:pt>
                <c:pt idx="7">
                  <c:v>Mon</c:v>
                </c:pt>
                <c:pt idx="8">
                  <c:v>Tue</c:v>
                </c:pt>
                <c:pt idx="9">
                  <c:v>Wed</c:v>
                </c:pt>
                <c:pt idx="10">
                  <c:v>Thu</c:v>
                </c:pt>
                <c:pt idx="11">
                  <c:v>Fri</c:v>
                </c:pt>
                <c:pt idx="12">
                  <c:v>Sat</c:v>
                </c:pt>
                <c:pt idx="13">
                  <c:v>Sun</c:v>
                </c:pt>
                <c:pt idx="14">
                  <c:v>Mon</c:v>
                </c:pt>
                <c:pt idx="15">
                  <c:v>Tue</c:v>
                </c:pt>
                <c:pt idx="16">
                  <c:v>Wed</c:v>
                </c:pt>
                <c:pt idx="17">
                  <c:v>Thu</c:v>
                </c:pt>
                <c:pt idx="18">
                  <c:v>Fri</c:v>
                </c:pt>
                <c:pt idx="19">
                  <c:v>Sat</c:v>
                </c:pt>
                <c:pt idx="20">
                  <c:v>Sun</c:v>
                </c:pt>
                <c:pt idx="21">
                  <c:v>Mon</c:v>
                </c:pt>
                <c:pt idx="22">
                  <c:v>Tue</c:v>
                </c:pt>
                <c:pt idx="23">
                  <c:v>Wed</c:v>
                </c:pt>
                <c:pt idx="24">
                  <c:v>Thu</c:v>
                </c:pt>
                <c:pt idx="25">
                  <c:v>Fri</c:v>
                </c:pt>
                <c:pt idx="26">
                  <c:v>Sat</c:v>
                </c:pt>
                <c:pt idx="27">
                  <c:v>Sun</c:v>
                </c:pt>
              </c:strCache>
            </c:strRef>
          </c:cat>
          <c:val>
            <c:numRef>
              <c:f>Forecast!$F$9:$F$36</c:f>
              <c:numCache>
                <c:formatCode>#,##0</c:formatCode>
                <c:ptCount val="28"/>
                <c:pt idx="0">
                  <c:v>1667</c:v>
                </c:pt>
                <c:pt idx="1">
                  <c:v>1506</c:v>
                </c:pt>
                <c:pt idx="2">
                  <c:v>1458</c:v>
                </c:pt>
                <c:pt idx="3">
                  <c:v>1370</c:v>
                </c:pt>
                <c:pt idx="4">
                  <c:v>1289</c:v>
                </c:pt>
                <c:pt idx="5">
                  <c:v>1040</c:v>
                </c:pt>
                <c:pt idx="6">
                  <c:v>1009</c:v>
                </c:pt>
                <c:pt idx="7">
                  <c:v>1676</c:v>
                </c:pt>
                <c:pt idx="8">
                  <c:v>1513</c:v>
                </c:pt>
                <c:pt idx="9">
                  <c:v>1465</c:v>
                </c:pt>
                <c:pt idx="10">
                  <c:v>1377</c:v>
                </c:pt>
                <c:pt idx="11">
                  <c:v>1295</c:v>
                </c:pt>
                <c:pt idx="12">
                  <c:v>1045</c:v>
                </c:pt>
                <c:pt idx="13">
                  <c:v>1014</c:v>
                </c:pt>
                <c:pt idx="14">
                  <c:v>1684</c:v>
                </c:pt>
                <c:pt idx="15">
                  <c:v>1521</c:v>
                </c:pt>
                <c:pt idx="16">
                  <c:v>1473</c:v>
                </c:pt>
                <c:pt idx="17">
                  <c:v>1384</c:v>
                </c:pt>
                <c:pt idx="18">
                  <c:v>1302</c:v>
                </c:pt>
                <c:pt idx="19">
                  <c:v>1050</c:v>
                </c:pt>
                <c:pt idx="20">
                  <c:v>1019</c:v>
                </c:pt>
                <c:pt idx="21">
                  <c:v>1693</c:v>
                </c:pt>
                <c:pt idx="22">
                  <c:v>1528</c:v>
                </c:pt>
                <c:pt idx="23">
                  <c:v>1480</c:v>
                </c:pt>
                <c:pt idx="24">
                  <c:v>1390</c:v>
                </c:pt>
                <c:pt idx="25">
                  <c:v>1308</c:v>
                </c:pt>
                <c:pt idx="26">
                  <c:v>1055</c:v>
                </c:pt>
                <c:pt idx="27">
                  <c:v>1024</c:v>
                </c:pt>
              </c:numCache>
            </c:numRef>
          </c:val>
          <c:smooth val="1"/>
        </c:ser>
        <c:hiLowLines>
          <c:spPr>
            <a:ln w="0">
              <a:noFill/>
            </a:ln>
          </c:spPr>
        </c:hiLowLines>
        <c:marker val="0"/>
        <c:axId val="18673024"/>
        <c:axId val="10485138"/>
      </c:lineChart>
      <c:catAx>
        <c:axId val="1867302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485138"/>
        <c:crosses val="autoZero"/>
        <c:auto val="1"/>
        <c:lblAlgn val="ctr"/>
        <c:lblOffset val="100"/>
        <c:noMultiLvlLbl val="0"/>
      </c:catAx>
      <c:valAx>
        <c:axId val="10485138"/>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Contacts</a:t>
                </a:r>
              </a:p>
            </c:rich>
          </c:tx>
          <c:overlay val="0"/>
          <c:spPr>
            <a:noFill/>
            <a:ln w="0">
              <a:noFill/>
            </a:ln>
          </c:spPr>
        </c:title>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867302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Backtest: forecast against actual</a:t>
            </a:r>
          </a:p>
        </c:rich>
      </c:tx>
      <c:overlay val="0"/>
      <c:spPr>
        <a:noFill/>
        <a:ln w="0">
          <a:noFill/>
        </a:ln>
      </c:spPr>
    </c:title>
    <c:autoTitleDeleted val="0"/>
    <c:plotArea>
      <c:lineChart>
        <c:grouping val="standard"/>
        <c:varyColors val="0"/>
        <c:ser>
          <c:idx val="0"/>
          <c:order val="0"/>
          <c:tx>
            <c:strRef>
              <c:f>Accuracy!D8</c:f>
              <c:strCache>
                <c:ptCount val="1"/>
                <c:pt idx="0">
                  <c:v>Forecast</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Accuracy!$B$9:$B$36</c:f>
              <c:strCache>
                <c:ptCount val="28"/>
                <c:pt idx="0">
                  <c:v>Mon</c:v>
                </c:pt>
                <c:pt idx="1">
                  <c:v>Tue</c:v>
                </c:pt>
                <c:pt idx="2">
                  <c:v>Wed</c:v>
                </c:pt>
                <c:pt idx="3">
                  <c:v>Thu</c:v>
                </c:pt>
                <c:pt idx="4">
                  <c:v>Fri</c:v>
                </c:pt>
                <c:pt idx="5">
                  <c:v>Sat</c:v>
                </c:pt>
                <c:pt idx="6">
                  <c:v>Sun</c:v>
                </c:pt>
                <c:pt idx="7">
                  <c:v>Mon</c:v>
                </c:pt>
                <c:pt idx="8">
                  <c:v>Tue</c:v>
                </c:pt>
                <c:pt idx="9">
                  <c:v>Wed</c:v>
                </c:pt>
                <c:pt idx="10">
                  <c:v>Thu</c:v>
                </c:pt>
                <c:pt idx="11">
                  <c:v>Fri</c:v>
                </c:pt>
                <c:pt idx="12">
                  <c:v>Sat</c:v>
                </c:pt>
                <c:pt idx="13">
                  <c:v>Sun</c:v>
                </c:pt>
                <c:pt idx="14">
                  <c:v>Mon</c:v>
                </c:pt>
                <c:pt idx="15">
                  <c:v>Tue</c:v>
                </c:pt>
                <c:pt idx="16">
                  <c:v>Wed</c:v>
                </c:pt>
                <c:pt idx="17">
                  <c:v>Thu</c:v>
                </c:pt>
                <c:pt idx="18">
                  <c:v>Fri</c:v>
                </c:pt>
                <c:pt idx="19">
                  <c:v>Sat</c:v>
                </c:pt>
                <c:pt idx="20">
                  <c:v>Sun</c:v>
                </c:pt>
                <c:pt idx="21">
                  <c:v>Mon</c:v>
                </c:pt>
                <c:pt idx="22">
                  <c:v>Tue</c:v>
                </c:pt>
                <c:pt idx="23">
                  <c:v>Wed</c:v>
                </c:pt>
                <c:pt idx="24">
                  <c:v>Thu</c:v>
                </c:pt>
                <c:pt idx="25">
                  <c:v>Fri</c:v>
                </c:pt>
                <c:pt idx="26">
                  <c:v>Sat</c:v>
                </c:pt>
                <c:pt idx="27">
                  <c:v>Sun</c:v>
                </c:pt>
              </c:strCache>
            </c:strRef>
          </c:cat>
          <c:val>
            <c:numRef>
              <c:f>Accuracy!$D$9:$D$36</c:f>
              <c:numCache>
                <c:formatCode>#,##0</c:formatCode>
                <c:ptCount val="28"/>
                <c:pt idx="0">
                  <c:v>1638</c:v>
                </c:pt>
                <c:pt idx="1">
                  <c:v>1480</c:v>
                </c:pt>
                <c:pt idx="2">
                  <c:v>1421</c:v>
                </c:pt>
                <c:pt idx="3">
                  <c:v>1333</c:v>
                </c:pt>
                <c:pt idx="4">
                  <c:v>1265</c:v>
                </c:pt>
                <c:pt idx="5">
                  <c:v>1018</c:v>
                </c:pt>
                <c:pt idx="6">
                  <c:v>984</c:v>
                </c:pt>
                <c:pt idx="7">
                  <c:v>1646</c:v>
                </c:pt>
                <c:pt idx="8">
                  <c:v>1488</c:v>
                </c:pt>
                <c:pt idx="9">
                  <c:v>1429</c:v>
                </c:pt>
                <c:pt idx="10">
                  <c:v>1339</c:v>
                </c:pt>
                <c:pt idx="11">
                  <c:v>1272</c:v>
                </c:pt>
                <c:pt idx="12">
                  <c:v>1023</c:v>
                </c:pt>
                <c:pt idx="13">
                  <c:v>989</c:v>
                </c:pt>
                <c:pt idx="14">
                  <c:v>1654</c:v>
                </c:pt>
                <c:pt idx="15">
                  <c:v>1495</c:v>
                </c:pt>
                <c:pt idx="16">
                  <c:v>1436</c:v>
                </c:pt>
                <c:pt idx="17">
                  <c:v>1346</c:v>
                </c:pt>
                <c:pt idx="18">
                  <c:v>1278</c:v>
                </c:pt>
                <c:pt idx="19">
                  <c:v>1028</c:v>
                </c:pt>
                <c:pt idx="20">
                  <c:v>994</c:v>
                </c:pt>
                <c:pt idx="21">
                  <c:v>1663</c:v>
                </c:pt>
                <c:pt idx="22">
                  <c:v>1503</c:v>
                </c:pt>
                <c:pt idx="23">
                  <c:v>1443</c:v>
                </c:pt>
                <c:pt idx="24">
                  <c:v>1353</c:v>
                </c:pt>
                <c:pt idx="25">
                  <c:v>1284</c:v>
                </c:pt>
                <c:pt idx="26">
                  <c:v>1033</c:v>
                </c:pt>
                <c:pt idx="27">
                  <c:v>999</c:v>
                </c:pt>
              </c:numCache>
            </c:numRef>
          </c:val>
          <c:smooth val="1"/>
        </c:ser>
        <c:ser>
          <c:idx val="1"/>
          <c:order val="1"/>
          <c:tx>
            <c:strRef>
              <c:f>Accuracy!E8</c:f>
              <c:strCache>
                <c:ptCount val="1"/>
                <c:pt idx="0">
                  <c:v>Actual</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Accuracy!$B$9:$B$36</c:f>
              <c:strCache>
                <c:ptCount val="28"/>
                <c:pt idx="0">
                  <c:v>Mon</c:v>
                </c:pt>
                <c:pt idx="1">
                  <c:v>Tue</c:v>
                </c:pt>
                <c:pt idx="2">
                  <c:v>Wed</c:v>
                </c:pt>
                <c:pt idx="3">
                  <c:v>Thu</c:v>
                </c:pt>
                <c:pt idx="4">
                  <c:v>Fri</c:v>
                </c:pt>
                <c:pt idx="5">
                  <c:v>Sat</c:v>
                </c:pt>
                <c:pt idx="6">
                  <c:v>Sun</c:v>
                </c:pt>
                <c:pt idx="7">
                  <c:v>Mon</c:v>
                </c:pt>
                <c:pt idx="8">
                  <c:v>Tue</c:v>
                </c:pt>
                <c:pt idx="9">
                  <c:v>Wed</c:v>
                </c:pt>
                <c:pt idx="10">
                  <c:v>Thu</c:v>
                </c:pt>
                <c:pt idx="11">
                  <c:v>Fri</c:v>
                </c:pt>
                <c:pt idx="12">
                  <c:v>Sat</c:v>
                </c:pt>
                <c:pt idx="13">
                  <c:v>Sun</c:v>
                </c:pt>
                <c:pt idx="14">
                  <c:v>Mon</c:v>
                </c:pt>
                <c:pt idx="15">
                  <c:v>Tue</c:v>
                </c:pt>
                <c:pt idx="16">
                  <c:v>Wed</c:v>
                </c:pt>
                <c:pt idx="17">
                  <c:v>Thu</c:v>
                </c:pt>
                <c:pt idx="18">
                  <c:v>Fri</c:v>
                </c:pt>
                <c:pt idx="19">
                  <c:v>Sat</c:v>
                </c:pt>
                <c:pt idx="20">
                  <c:v>Sun</c:v>
                </c:pt>
                <c:pt idx="21">
                  <c:v>Mon</c:v>
                </c:pt>
                <c:pt idx="22">
                  <c:v>Tue</c:v>
                </c:pt>
                <c:pt idx="23">
                  <c:v>Wed</c:v>
                </c:pt>
                <c:pt idx="24">
                  <c:v>Thu</c:v>
                </c:pt>
                <c:pt idx="25">
                  <c:v>Fri</c:v>
                </c:pt>
                <c:pt idx="26">
                  <c:v>Sat</c:v>
                </c:pt>
                <c:pt idx="27">
                  <c:v>Sun</c:v>
                </c:pt>
              </c:strCache>
            </c:strRef>
          </c:cat>
          <c:val>
            <c:numRef>
              <c:f>Accuracy!$E$9:$E$36</c:f>
              <c:numCache>
                <c:formatCode>#,##0</c:formatCode>
                <c:ptCount val="28"/>
                <c:pt idx="0">
                  <c:v>1678</c:v>
                </c:pt>
                <c:pt idx="1">
                  <c:v>1497</c:v>
                </c:pt>
                <c:pt idx="2">
                  <c:v>1451</c:v>
                </c:pt>
                <c:pt idx="3">
                  <c:v>1314</c:v>
                </c:pt>
                <c:pt idx="4">
                  <c:v>1302</c:v>
                </c:pt>
                <c:pt idx="5">
                  <c:v>1085</c:v>
                </c:pt>
                <c:pt idx="6">
                  <c:v>1034</c:v>
                </c:pt>
                <c:pt idx="7">
                  <c:v>1709</c:v>
                </c:pt>
                <c:pt idx="8">
                  <c:v>1518</c:v>
                </c:pt>
                <c:pt idx="9">
                  <c:v>1438</c:v>
                </c:pt>
                <c:pt idx="10">
                  <c:v>1336</c:v>
                </c:pt>
                <c:pt idx="11">
                  <c:v>1334</c:v>
                </c:pt>
                <c:pt idx="12">
                  <c:v>1053</c:v>
                </c:pt>
                <c:pt idx="13">
                  <c:v>1032</c:v>
                </c:pt>
                <c:pt idx="14">
                  <c:v>1668</c:v>
                </c:pt>
                <c:pt idx="15">
                  <c:v>1521</c:v>
                </c:pt>
                <c:pt idx="16">
                  <c:v>1497</c:v>
                </c:pt>
                <c:pt idx="17">
                  <c:v>1433</c:v>
                </c:pt>
                <c:pt idx="18">
                  <c:v>1349</c:v>
                </c:pt>
                <c:pt idx="19">
                  <c:v>1081</c:v>
                </c:pt>
                <c:pt idx="20">
                  <c:v>1040</c:v>
                </c:pt>
                <c:pt idx="21">
                  <c:v>1732</c:v>
                </c:pt>
                <c:pt idx="22">
                  <c:v>1529</c:v>
                </c:pt>
                <c:pt idx="23">
                  <c:v>1470</c:v>
                </c:pt>
                <c:pt idx="24">
                  <c:v>1371</c:v>
                </c:pt>
                <c:pt idx="25">
                  <c:v>1269</c:v>
                </c:pt>
                <c:pt idx="26">
                  <c:v>1020</c:v>
                </c:pt>
                <c:pt idx="27">
                  <c:v>1002</c:v>
                </c:pt>
              </c:numCache>
            </c:numRef>
          </c:val>
          <c:smooth val="1"/>
        </c:ser>
        <c:hiLowLines>
          <c:spPr>
            <a:ln w="0">
              <a:noFill/>
            </a:ln>
          </c:spPr>
        </c:hiLowLines>
        <c:marker val="0"/>
        <c:axId val="96765338"/>
        <c:axId val="59188228"/>
      </c:lineChart>
      <c:catAx>
        <c:axId val="9676533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9188228"/>
        <c:crosses val="autoZero"/>
        <c:auto val="1"/>
        <c:lblAlgn val="ctr"/>
        <c:lblOffset val="100"/>
        <c:noMultiLvlLbl val="0"/>
      </c:catAx>
      <c:valAx>
        <c:axId val="59188228"/>
        <c:scaling>
          <c:orientation val="minMax"/>
        </c:scaling>
        <c:delete val="0"/>
        <c:axPos val="l"/>
        <c:majorGridlines>
          <c:spPr>
            <a:ln w="9360">
              <a:solidFill>
                <a:srgbClr val="878787"/>
              </a:solidFill>
              <a:round/>
            </a:ln>
          </c:spPr>
        </c:majorGridlines>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6765338"/>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_rels/drawing3.xml.rels><?xml version="1.0" encoding="UTF-8"?>
<Relationships xmlns="http://schemas.openxmlformats.org/package/2006/relationships"><Relationship Id="rId1"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2</xdr:row>
      <xdr:rowOff>101160</xdr:rowOff>
    </xdr:from>
    <xdr:to>
      <xdr:col>14</xdr:col>
      <xdr:colOff>147600</xdr:colOff>
      <xdr:row>15</xdr:row>
      <xdr:rowOff>144000</xdr:rowOff>
    </xdr:to>
    <xdr:graphicFrame>
      <xdr:nvGraphicFramePr>
        <xdr:cNvPr id="0" name="Chart 1"/>
        <xdr:cNvGraphicFramePr/>
      </xdr:nvGraphicFramePr>
      <xdr:xfrm>
        <a:off x="7730640" y="933480"/>
        <a:ext cx="503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2</xdr:row>
      <xdr:rowOff>101160</xdr:rowOff>
    </xdr:from>
    <xdr:to>
      <xdr:col>16</xdr:col>
      <xdr:colOff>255960</xdr:colOff>
      <xdr:row>16</xdr:row>
      <xdr:rowOff>133560</xdr:rowOff>
    </xdr:to>
    <xdr:graphicFrame>
      <xdr:nvGraphicFramePr>
        <xdr:cNvPr id="1" name="Chart 1"/>
        <xdr:cNvGraphicFramePr/>
      </xdr:nvGraphicFramePr>
      <xdr:xfrm>
        <a:off x="7448400" y="933480"/>
        <a:ext cx="575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2</xdr:row>
      <xdr:rowOff>101160</xdr:rowOff>
    </xdr:from>
    <xdr:to>
      <xdr:col>17</xdr:col>
      <xdr:colOff>256320</xdr:colOff>
      <xdr:row>16</xdr:row>
      <xdr:rowOff>133560</xdr:rowOff>
    </xdr:to>
    <xdr:graphicFrame>
      <xdr:nvGraphicFramePr>
        <xdr:cNvPr id="2" name="Chart 1"/>
        <xdr:cNvGraphicFramePr/>
      </xdr:nvGraphicFramePr>
      <xdr:xfrm>
        <a:off x="8717400" y="933480"/>
        <a:ext cx="575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53D"/>
    <pageSetUpPr fitToPage="false"/>
  </sheetPr>
  <dimension ref="B2: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5" hidden="false" customHeight="false" outlineLevel="0" collapsed="false">
      <c r="B2" s="1" t="s">
        <v>0</v>
      </c>
    </row>
    <row r="3" customFormat="false" ht="22.05" hidden="false" customHeight="false" outlineLevel="0" collapsed="false">
      <c r="B3" s="2" t="s">
        <v>1</v>
      </c>
    </row>
    <row r="4" customFormat="false" ht="30" hidden="false" customHeight="tru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3" t="s">
        <v>4</v>
      </c>
    </row>
    <row r="8" customFormat="false" ht="15" hidden="false" customHeight="false" outlineLevel="0" collapsed="false">
      <c r="B8" s="3" t="s">
        <v>5</v>
      </c>
    </row>
    <row r="9" customFormat="false" ht="15" hidden="false" customHeight="false" outlineLevel="0" collapsed="false">
      <c r="B9" s="3" t="s">
        <v>6</v>
      </c>
    </row>
    <row r="10" customFormat="false" ht="15" hidden="false" customHeight="false" outlineLevel="0" collapsed="false">
      <c r="B10" s="3" t="s">
        <v>7</v>
      </c>
    </row>
    <row r="11" customFormat="false" ht="15" hidden="false" customHeight="false" outlineLevel="0" collapsed="false">
      <c r="B11" s="3" t="s">
        <v>8</v>
      </c>
    </row>
    <row r="12" customFormat="false" ht="15" hidden="false" customHeight="false" outlineLevel="0" collapsed="false">
      <c r="B12" s="4"/>
    </row>
    <row r="13" customFormat="false" ht="15" hidden="false" customHeight="false" outlineLevel="0" collapsed="false">
      <c r="B13" s="5" t="s">
        <v>9</v>
      </c>
    </row>
    <row r="14" customFormat="false" ht="15" hidden="false" customHeight="false" outlineLevel="0" collapsed="false">
      <c r="B14" s="3" t="s">
        <v>10</v>
      </c>
    </row>
    <row r="15" customFormat="false" ht="30" hidden="false" customHeight="true" outlineLevel="0" collapsed="false">
      <c r="B15" s="3" t="s">
        <v>11</v>
      </c>
    </row>
    <row r="16" customFormat="false" ht="15" hidden="false" customHeight="false" outlineLevel="0" collapsed="false">
      <c r="B16" s="4"/>
    </row>
    <row r="17" customFormat="false" ht="15" hidden="false" customHeight="false" outlineLevel="0" collapsed="false">
      <c r="B17" s="5" t="s">
        <v>12</v>
      </c>
    </row>
    <row r="18" customFormat="false" ht="43.5" hidden="false" customHeight="true" outlineLevel="0" collapsed="false">
      <c r="B18" s="3" t="s">
        <v>13</v>
      </c>
    </row>
    <row r="19" customFormat="false" ht="15" hidden="false" customHeight="false" outlineLevel="0" collapsed="false">
      <c r="B19" s="4"/>
    </row>
    <row r="20" customFormat="false" ht="15" hidden="false" customHeight="false" outlineLevel="0" collapsed="false">
      <c r="B20" s="1"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BEA"/>
    <pageSetUpPr fitToPage="false"/>
  </sheetPr>
  <dimension ref="A1:F18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6"/>
    <col collapsed="false" customWidth="true" hidden="false" outlineLevel="0" max="3" min="3" style="0" width="8"/>
    <col collapsed="false" customWidth="true" hidden="false" outlineLevel="0" max="4" min="4" style="0" width="10"/>
    <col collapsed="false" customWidth="true" hidden="false" outlineLevel="0" max="5" min="5" style="0" width="12"/>
  </cols>
  <sheetData>
    <row r="1" customFormat="false" ht="15" hidden="false" customHeight="false" outlineLevel="0" collapsed="false">
      <c r="A1" s="6" t="s">
        <v>15</v>
      </c>
    </row>
    <row r="2" customFormat="false" ht="30" hidden="false" customHeight="true" outlineLevel="0" collapsed="false">
      <c r="A2" s="7" t="s">
        <v>16</v>
      </c>
      <c r="B2" s="7"/>
      <c r="C2" s="7"/>
      <c r="D2" s="7"/>
      <c r="E2" s="7"/>
      <c r="F2" s="7"/>
    </row>
    <row r="4" customFormat="false" ht="15" hidden="false" customHeight="false" outlineLevel="0" collapsed="false">
      <c r="A4" s="8" t="s">
        <v>17</v>
      </c>
      <c r="B4" s="8" t="s">
        <v>18</v>
      </c>
      <c r="C4" s="8" t="s">
        <v>19</v>
      </c>
      <c r="D4" s="8" t="s">
        <v>20</v>
      </c>
      <c r="E4" s="8" t="s">
        <v>21</v>
      </c>
    </row>
    <row r="5" customFormat="false" ht="15" hidden="false" customHeight="false" outlineLevel="0" collapsed="false">
      <c r="A5" s="9" t="n">
        <v>46083</v>
      </c>
      <c r="B5" s="10" t="n">
        <f aca="false">WEEKDAY(A5,2)</f>
        <v>1</v>
      </c>
      <c r="C5" s="10" t="str">
        <f aca="false">INDEX(Days!$B$2:$B$8,B5)</f>
        <v>Mon</v>
      </c>
      <c r="D5" s="10" t="n">
        <f aca="false">INT((A5-$A$5)/7)+1</f>
        <v>1</v>
      </c>
      <c r="E5" s="10" t="n">
        <v>1479</v>
      </c>
    </row>
    <row r="6" customFormat="false" ht="15" hidden="false" customHeight="false" outlineLevel="0" collapsed="false">
      <c r="A6" s="9" t="n">
        <v>46084</v>
      </c>
      <c r="B6" s="10" t="n">
        <f aca="false">WEEKDAY(A6,2)</f>
        <v>2</v>
      </c>
      <c r="C6" s="10" t="str">
        <f aca="false">INDEX(Days!$B$2:$B$8,B6)</f>
        <v>Tue</v>
      </c>
      <c r="D6" s="10" t="n">
        <f aca="false">INT((A6-$A$5)/7)+1</f>
        <v>1</v>
      </c>
      <c r="E6" s="10" t="n">
        <v>1341</v>
      </c>
    </row>
    <row r="7" customFormat="false" ht="15" hidden="false" customHeight="false" outlineLevel="0" collapsed="false">
      <c r="A7" s="9" t="n">
        <v>46085</v>
      </c>
      <c r="B7" s="10" t="n">
        <f aca="false">WEEKDAY(A7,2)</f>
        <v>3</v>
      </c>
      <c r="C7" s="10" t="str">
        <f aca="false">INDEX(Days!$B$2:$B$8,B7)</f>
        <v>Wed</v>
      </c>
      <c r="D7" s="10" t="n">
        <f aca="false">INT((A7-$A$5)/7)+1</f>
        <v>1</v>
      </c>
      <c r="E7" s="10" t="n">
        <v>1312</v>
      </c>
    </row>
    <row r="8" customFormat="false" ht="15" hidden="false" customHeight="false" outlineLevel="0" collapsed="false">
      <c r="A8" s="9" t="n">
        <v>46086</v>
      </c>
      <c r="B8" s="10" t="n">
        <f aca="false">WEEKDAY(A8,2)</f>
        <v>4</v>
      </c>
      <c r="C8" s="10" t="str">
        <f aca="false">INDEX(Days!$B$2:$B$8,B8)</f>
        <v>Thu</v>
      </c>
      <c r="D8" s="10" t="n">
        <f aca="false">INT((A8-$A$5)/7)+1</f>
        <v>1</v>
      </c>
      <c r="E8" s="10" t="n">
        <v>1182</v>
      </c>
    </row>
    <row r="9" customFormat="false" ht="15" hidden="false" customHeight="false" outlineLevel="0" collapsed="false">
      <c r="A9" s="9" t="n">
        <v>46087</v>
      </c>
      <c r="B9" s="10" t="n">
        <f aca="false">WEEKDAY(A9,2)</f>
        <v>5</v>
      </c>
      <c r="C9" s="10" t="str">
        <f aca="false">INDEX(Days!$B$2:$B$8,B9)</f>
        <v>Fri</v>
      </c>
      <c r="D9" s="10" t="n">
        <f aca="false">INT((A9-$A$5)/7)+1</f>
        <v>1</v>
      </c>
      <c r="E9" s="10" t="n">
        <v>1167</v>
      </c>
    </row>
    <row r="10" customFormat="false" ht="15" hidden="false" customHeight="false" outlineLevel="0" collapsed="false">
      <c r="A10" s="9" t="n">
        <v>46088</v>
      </c>
      <c r="B10" s="10" t="n">
        <f aca="false">WEEKDAY(A10,2)</f>
        <v>6</v>
      </c>
      <c r="C10" s="10" t="str">
        <f aca="false">INDEX(Days!$B$2:$B$8,B10)</f>
        <v>Sat</v>
      </c>
      <c r="D10" s="10" t="n">
        <f aca="false">INT((A10-$A$5)/7)+1</f>
        <v>1</v>
      </c>
      <c r="E10" s="10" t="n">
        <v>926</v>
      </c>
    </row>
    <row r="11" customFormat="false" ht="15" hidden="false" customHeight="false" outlineLevel="0" collapsed="false">
      <c r="A11" s="9" t="n">
        <v>46089</v>
      </c>
      <c r="B11" s="10" t="n">
        <f aca="false">WEEKDAY(A11,2)</f>
        <v>7</v>
      </c>
      <c r="C11" s="10" t="str">
        <f aca="false">INDEX(Days!$B$2:$B$8,B11)</f>
        <v>Sun</v>
      </c>
      <c r="D11" s="10" t="n">
        <f aca="false">INT((A11-$A$5)/7)+1</f>
        <v>1</v>
      </c>
      <c r="E11" s="10" t="n">
        <v>868</v>
      </c>
    </row>
    <row r="12" customFormat="false" ht="15" hidden="false" customHeight="false" outlineLevel="0" collapsed="false">
      <c r="A12" s="9" t="n">
        <v>46090</v>
      </c>
      <c r="B12" s="10" t="n">
        <f aca="false">WEEKDAY(A12,2)</f>
        <v>1</v>
      </c>
      <c r="C12" s="10" t="str">
        <f aca="false">INDEX(Days!$B$2:$B$8,B12)</f>
        <v>Mon</v>
      </c>
      <c r="D12" s="10" t="n">
        <f aca="false">INT((A12-$A$5)/7)+1</f>
        <v>2</v>
      </c>
      <c r="E12" s="10" t="n">
        <v>1508</v>
      </c>
    </row>
    <row r="13" customFormat="false" ht="15" hidden="false" customHeight="false" outlineLevel="0" collapsed="false">
      <c r="A13" s="9" t="n">
        <v>46091</v>
      </c>
      <c r="B13" s="10" t="n">
        <f aca="false">WEEKDAY(A13,2)</f>
        <v>2</v>
      </c>
      <c r="C13" s="10" t="str">
        <f aca="false">INDEX(Days!$B$2:$B$8,B13)</f>
        <v>Tue</v>
      </c>
      <c r="D13" s="10" t="n">
        <f aca="false">INT((A13-$A$5)/7)+1</f>
        <v>2</v>
      </c>
      <c r="E13" s="10" t="n">
        <v>1336</v>
      </c>
    </row>
    <row r="14" customFormat="false" ht="15" hidden="false" customHeight="false" outlineLevel="0" collapsed="false">
      <c r="A14" s="9" t="n">
        <v>46092</v>
      </c>
      <c r="B14" s="10" t="n">
        <f aca="false">WEEKDAY(A14,2)</f>
        <v>3</v>
      </c>
      <c r="C14" s="10" t="str">
        <f aca="false">INDEX(Days!$B$2:$B$8,B14)</f>
        <v>Wed</v>
      </c>
      <c r="D14" s="10" t="n">
        <f aca="false">INT((A14-$A$5)/7)+1</f>
        <v>2</v>
      </c>
      <c r="E14" s="10" t="n">
        <v>1296</v>
      </c>
    </row>
    <row r="15" customFormat="false" ht="15" hidden="false" customHeight="false" outlineLevel="0" collapsed="false">
      <c r="A15" s="9" t="n">
        <v>46093</v>
      </c>
      <c r="B15" s="10" t="n">
        <f aca="false">WEEKDAY(A15,2)</f>
        <v>4</v>
      </c>
      <c r="C15" s="10" t="str">
        <f aca="false">INDEX(Days!$B$2:$B$8,B15)</f>
        <v>Thu</v>
      </c>
      <c r="D15" s="10" t="n">
        <f aca="false">INT((A15-$A$5)/7)+1</f>
        <v>2</v>
      </c>
      <c r="E15" s="10" t="n">
        <v>1188</v>
      </c>
    </row>
    <row r="16" customFormat="false" ht="15" hidden="false" customHeight="false" outlineLevel="0" collapsed="false">
      <c r="A16" s="9" t="n">
        <v>46094</v>
      </c>
      <c r="B16" s="10" t="n">
        <f aca="false">WEEKDAY(A16,2)</f>
        <v>5</v>
      </c>
      <c r="C16" s="10" t="str">
        <f aca="false">INDEX(Days!$B$2:$B$8,B16)</f>
        <v>Fri</v>
      </c>
      <c r="D16" s="10" t="n">
        <f aca="false">INT((A16-$A$5)/7)+1</f>
        <v>2</v>
      </c>
      <c r="E16" s="10" t="n">
        <v>1132</v>
      </c>
    </row>
    <row r="17" customFormat="false" ht="15" hidden="false" customHeight="false" outlineLevel="0" collapsed="false">
      <c r="A17" s="9" t="n">
        <v>46095</v>
      </c>
      <c r="B17" s="10" t="n">
        <f aca="false">WEEKDAY(A17,2)</f>
        <v>6</v>
      </c>
      <c r="C17" s="10" t="str">
        <f aca="false">INDEX(Days!$B$2:$B$8,B17)</f>
        <v>Sat</v>
      </c>
      <c r="D17" s="10" t="n">
        <f aca="false">INT((A17-$A$5)/7)+1</f>
        <v>2</v>
      </c>
      <c r="E17" s="10" t="n">
        <v>935</v>
      </c>
    </row>
    <row r="18" customFormat="false" ht="15" hidden="false" customHeight="false" outlineLevel="0" collapsed="false">
      <c r="A18" s="9" t="n">
        <v>46096</v>
      </c>
      <c r="B18" s="10" t="n">
        <f aca="false">WEEKDAY(A18,2)</f>
        <v>7</v>
      </c>
      <c r="C18" s="10" t="str">
        <f aca="false">INDEX(Days!$B$2:$B$8,B18)</f>
        <v>Sun</v>
      </c>
      <c r="D18" s="10" t="n">
        <f aca="false">INT((A18-$A$5)/7)+1</f>
        <v>2</v>
      </c>
      <c r="E18" s="10" t="n">
        <v>928</v>
      </c>
    </row>
    <row r="19" customFormat="false" ht="15" hidden="false" customHeight="false" outlineLevel="0" collapsed="false">
      <c r="A19" s="9" t="n">
        <v>46097</v>
      </c>
      <c r="B19" s="10" t="n">
        <f aca="false">WEEKDAY(A19,2)</f>
        <v>1</v>
      </c>
      <c r="C19" s="10" t="str">
        <f aca="false">INDEX(Days!$B$2:$B$8,B19)</f>
        <v>Mon</v>
      </c>
      <c r="D19" s="10" t="n">
        <f aca="false">INT((A19-$A$5)/7)+1</f>
        <v>3</v>
      </c>
      <c r="E19" s="10" t="n">
        <v>1469</v>
      </c>
    </row>
    <row r="20" customFormat="false" ht="15" hidden="false" customHeight="false" outlineLevel="0" collapsed="false">
      <c r="A20" s="9" t="n">
        <v>46098</v>
      </c>
      <c r="B20" s="10" t="n">
        <f aca="false">WEEKDAY(A20,2)</f>
        <v>2</v>
      </c>
      <c r="C20" s="10" t="str">
        <f aca="false">INDEX(Days!$B$2:$B$8,B20)</f>
        <v>Tue</v>
      </c>
      <c r="D20" s="10" t="n">
        <f aca="false">INT((A20-$A$5)/7)+1</f>
        <v>3</v>
      </c>
      <c r="E20" s="10" t="n">
        <v>1363</v>
      </c>
    </row>
    <row r="21" customFormat="false" ht="15" hidden="false" customHeight="false" outlineLevel="0" collapsed="false">
      <c r="A21" s="9" t="n">
        <v>46099</v>
      </c>
      <c r="B21" s="10" t="n">
        <f aca="false">WEEKDAY(A21,2)</f>
        <v>3</v>
      </c>
      <c r="C21" s="10" t="str">
        <f aca="false">INDEX(Days!$B$2:$B$8,B21)</f>
        <v>Wed</v>
      </c>
      <c r="D21" s="10" t="n">
        <f aca="false">INT((A21-$A$5)/7)+1</f>
        <v>3</v>
      </c>
      <c r="E21" s="10" t="n">
        <v>1322</v>
      </c>
    </row>
    <row r="22" customFormat="false" ht="15" hidden="false" customHeight="false" outlineLevel="0" collapsed="false">
      <c r="A22" s="9" t="n">
        <v>46100</v>
      </c>
      <c r="B22" s="10" t="n">
        <f aca="false">WEEKDAY(A22,2)</f>
        <v>4</v>
      </c>
      <c r="C22" s="10" t="str">
        <f aca="false">INDEX(Days!$B$2:$B$8,B22)</f>
        <v>Thu</v>
      </c>
      <c r="D22" s="10" t="n">
        <f aca="false">INT((A22-$A$5)/7)+1</f>
        <v>3</v>
      </c>
      <c r="E22" s="10" t="n">
        <v>1281</v>
      </c>
    </row>
    <row r="23" customFormat="false" ht="15" hidden="false" customHeight="false" outlineLevel="0" collapsed="false">
      <c r="A23" s="9" t="n">
        <v>46101</v>
      </c>
      <c r="B23" s="10" t="n">
        <f aca="false">WEEKDAY(A23,2)</f>
        <v>5</v>
      </c>
      <c r="C23" s="10" t="str">
        <f aca="false">INDEX(Days!$B$2:$B$8,B23)</f>
        <v>Fri</v>
      </c>
      <c r="D23" s="10" t="n">
        <f aca="false">INT((A23-$A$5)/7)+1</f>
        <v>3</v>
      </c>
      <c r="E23" s="10" t="n">
        <v>1183</v>
      </c>
    </row>
    <row r="24" customFormat="false" ht="15" hidden="false" customHeight="false" outlineLevel="0" collapsed="false">
      <c r="A24" s="9" t="n">
        <v>46102</v>
      </c>
      <c r="B24" s="10" t="n">
        <f aca="false">WEEKDAY(A24,2)</f>
        <v>6</v>
      </c>
      <c r="C24" s="10" t="str">
        <f aca="false">INDEX(Days!$B$2:$B$8,B24)</f>
        <v>Sat</v>
      </c>
      <c r="D24" s="10" t="n">
        <f aca="false">INT((A24-$A$5)/7)+1</f>
        <v>3</v>
      </c>
      <c r="E24" s="10" t="n">
        <v>938</v>
      </c>
    </row>
    <row r="25" customFormat="false" ht="15" hidden="false" customHeight="false" outlineLevel="0" collapsed="false">
      <c r="A25" s="9" t="n">
        <v>46103</v>
      </c>
      <c r="B25" s="10" t="n">
        <f aca="false">WEEKDAY(A25,2)</f>
        <v>7</v>
      </c>
      <c r="C25" s="10" t="str">
        <f aca="false">INDEX(Days!$B$2:$B$8,B25)</f>
        <v>Sun</v>
      </c>
      <c r="D25" s="10" t="n">
        <f aca="false">INT((A25-$A$5)/7)+1</f>
        <v>3</v>
      </c>
      <c r="E25" s="10" t="n">
        <v>944</v>
      </c>
    </row>
    <row r="26" customFormat="false" ht="15" hidden="false" customHeight="false" outlineLevel="0" collapsed="false">
      <c r="A26" s="9" t="n">
        <v>46104</v>
      </c>
      <c r="B26" s="10" t="n">
        <f aca="false">WEEKDAY(A26,2)</f>
        <v>1</v>
      </c>
      <c r="C26" s="10" t="str">
        <f aca="false">INDEX(Days!$B$2:$B$8,B26)</f>
        <v>Mon</v>
      </c>
      <c r="D26" s="10" t="n">
        <f aca="false">INT((A26-$A$5)/7)+1</f>
        <v>4</v>
      </c>
      <c r="E26" s="10" t="n">
        <v>1467</v>
      </c>
    </row>
    <row r="27" customFormat="false" ht="15" hidden="false" customHeight="false" outlineLevel="0" collapsed="false">
      <c r="A27" s="9" t="n">
        <v>46105</v>
      </c>
      <c r="B27" s="10" t="n">
        <f aca="false">WEEKDAY(A27,2)</f>
        <v>2</v>
      </c>
      <c r="C27" s="10" t="str">
        <f aca="false">INDEX(Days!$B$2:$B$8,B27)</f>
        <v>Tue</v>
      </c>
      <c r="D27" s="10" t="n">
        <f aca="false">INT((A27-$A$5)/7)+1</f>
        <v>4</v>
      </c>
      <c r="E27" s="10" t="n">
        <v>1441</v>
      </c>
    </row>
    <row r="28" customFormat="false" ht="15" hidden="false" customHeight="false" outlineLevel="0" collapsed="false">
      <c r="A28" s="9" t="n">
        <v>46106</v>
      </c>
      <c r="B28" s="10" t="n">
        <f aca="false">WEEKDAY(A28,2)</f>
        <v>3</v>
      </c>
      <c r="C28" s="10" t="str">
        <f aca="false">INDEX(Days!$B$2:$B$8,B28)</f>
        <v>Wed</v>
      </c>
      <c r="D28" s="10" t="n">
        <f aca="false">INT((A28-$A$5)/7)+1</f>
        <v>4</v>
      </c>
      <c r="E28" s="10" t="n">
        <v>1293</v>
      </c>
    </row>
    <row r="29" customFormat="false" ht="15" hidden="false" customHeight="false" outlineLevel="0" collapsed="false">
      <c r="A29" s="9" t="n">
        <v>46107</v>
      </c>
      <c r="B29" s="10" t="n">
        <f aca="false">WEEKDAY(A29,2)</f>
        <v>4</v>
      </c>
      <c r="C29" s="10" t="str">
        <f aca="false">INDEX(Days!$B$2:$B$8,B29)</f>
        <v>Thu</v>
      </c>
      <c r="D29" s="10" t="n">
        <f aca="false">INT((A29-$A$5)/7)+1</f>
        <v>4</v>
      </c>
      <c r="E29" s="10" t="n">
        <v>1207</v>
      </c>
    </row>
    <row r="30" customFormat="false" ht="15" hidden="false" customHeight="false" outlineLevel="0" collapsed="false">
      <c r="A30" s="9" t="n">
        <v>46108</v>
      </c>
      <c r="B30" s="10" t="n">
        <f aca="false">WEEKDAY(A30,2)</f>
        <v>5</v>
      </c>
      <c r="C30" s="10" t="str">
        <f aca="false">INDEX(Days!$B$2:$B$8,B30)</f>
        <v>Fri</v>
      </c>
      <c r="D30" s="10" t="n">
        <f aca="false">INT((A30-$A$5)/7)+1</f>
        <v>4</v>
      </c>
      <c r="E30" s="10" t="n">
        <v>1145</v>
      </c>
    </row>
    <row r="31" customFormat="false" ht="15" hidden="false" customHeight="false" outlineLevel="0" collapsed="false">
      <c r="A31" s="9" t="n">
        <v>46109</v>
      </c>
      <c r="B31" s="10" t="n">
        <f aca="false">WEEKDAY(A31,2)</f>
        <v>6</v>
      </c>
      <c r="C31" s="10" t="str">
        <f aca="false">INDEX(Days!$B$2:$B$8,B31)</f>
        <v>Sat</v>
      </c>
      <c r="D31" s="10" t="n">
        <f aca="false">INT((A31-$A$5)/7)+1</f>
        <v>4</v>
      </c>
      <c r="E31" s="10" t="n">
        <v>936</v>
      </c>
    </row>
    <row r="32" customFormat="false" ht="15" hidden="false" customHeight="false" outlineLevel="0" collapsed="false">
      <c r="A32" s="9" t="n">
        <v>46110</v>
      </c>
      <c r="B32" s="10" t="n">
        <f aca="false">WEEKDAY(A32,2)</f>
        <v>7</v>
      </c>
      <c r="C32" s="10" t="str">
        <f aca="false">INDEX(Days!$B$2:$B$8,B32)</f>
        <v>Sun</v>
      </c>
      <c r="D32" s="10" t="n">
        <f aca="false">INT((A32-$A$5)/7)+1</f>
        <v>4</v>
      </c>
      <c r="E32" s="10" t="n">
        <v>937</v>
      </c>
    </row>
    <row r="33" customFormat="false" ht="15" hidden="false" customHeight="false" outlineLevel="0" collapsed="false">
      <c r="A33" s="9" t="n">
        <v>46111</v>
      </c>
      <c r="B33" s="10" t="n">
        <f aca="false">WEEKDAY(A33,2)</f>
        <v>1</v>
      </c>
      <c r="C33" s="10" t="str">
        <f aca="false">INDEX(Days!$B$2:$B$8,B33)</f>
        <v>Mon</v>
      </c>
      <c r="D33" s="10" t="n">
        <f aca="false">INT((A33-$A$5)/7)+1</f>
        <v>5</v>
      </c>
      <c r="E33" s="10" t="n">
        <v>1491</v>
      </c>
    </row>
    <row r="34" customFormat="false" ht="15" hidden="false" customHeight="false" outlineLevel="0" collapsed="false">
      <c r="A34" s="9" t="n">
        <v>46112</v>
      </c>
      <c r="B34" s="10" t="n">
        <f aca="false">WEEKDAY(A34,2)</f>
        <v>2</v>
      </c>
      <c r="C34" s="10" t="str">
        <f aca="false">INDEX(Days!$B$2:$B$8,B34)</f>
        <v>Tue</v>
      </c>
      <c r="D34" s="10" t="n">
        <f aca="false">INT((A34-$A$5)/7)+1</f>
        <v>5</v>
      </c>
      <c r="E34" s="10" t="n">
        <v>1417</v>
      </c>
    </row>
    <row r="35" customFormat="false" ht="15" hidden="false" customHeight="false" outlineLevel="0" collapsed="false">
      <c r="A35" s="9" t="n">
        <v>46113</v>
      </c>
      <c r="B35" s="10" t="n">
        <f aca="false">WEEKDAY(A35,2)</f>
        <v>3</v>
      </c>
      <c r="C35" s="10" t="str">
        <f aca="false">INDEX(Days!$B$2:$B$8,B35)</f>
        <v>Wed</v>
      </c>
      <c r="D35" s="10" t="n">
        <f aca="false">INT((A35-$A$5)/7)+1</f>
        <v>5</v>
      </c>
      <c r="E35" s="10" t="n">
        <v>1337</v>
      </c>
    </row>
    <row r="36" customFormat="false" ht="15" hidden="false" customHeight="false" outlineLevel="0" collapsed="false">
      <c r="A36" s="9" t="n">
        <v>46114</v>
      </c>
      <c r="B36" s="10" t="n">
        <f aca="false">WEEKDAY(A36,2)</f>
        <v>4</v>
      </c>
      <c r="C36" s="10" t="str">
        <f aca="false">INDEX(Days!$B$2:$B$8,B36)</f>
        <v>Thu</v>
      </c>
      <c r="D36" s="10" t="n">
        <f aca="false">INT((A36-$A$5)/7)+1</f>
        <v>5</v>
      </c>
      <c r="E36" s="10" t="n">
        <v>1236</v>
      </c>
    </row>
    <row r="37" customFormat="false" ht="15" hidden="false" customHeight="false" outlineLevel="0" collapsed="false">
      <c r="A37" s="9" t="n">
        <v>46115</v>
      </c>
      <c r="B37" s="10" t="n">
        <f aca="false">WEEKDAY(A37,2)</f>
        <v>5</v>
      </c>
      <c r="C37" s="10" t="str">
        <f aca="false">INDEX(Days!$B$2:$B$8,B37)</f>
        <v>Fri</v>
      </c>
      <c r="D37" s="10" t="n">
        <f aca="false">INT((A37-$A$5)/7)+1</f>
        <v>5</v>
      </c>
      <c r="E37" s="10" t="n">
        <v>1192</v>
      </c>
    </row>
    <row r="38" customFormat="false" ht="15" hidden="false" customHeight="false" outlineLevel="0" collapsed="false">
      <c r="A38" s="9" t="n">
        <v>46116</v>
      </c>
      <c r="B38" s="10" t="n">
        <f aca="false">WEEKDAY(A38,2)</f>
        <v>6</v>
      </c>
      <c r="C38" s="10" t="str">
        <f aca="false">INDEX(Days!$B$2:$B$8,B38)</f>
        <v>Sat</v>
      </c>
      <c r="D38" s="10" t="n">
        <f aca="false">INT((A38-$A$5)/7)+1</f>
        <v>5</v>
      </c>
      <c r="E38" s="10" t="n">
        <v>921</v>
      </c>
    </row>
    <row r="39" customFormat="false" ht="15" hidden="false" customHeight="false" outlineLevel="0" collapsed="false">
      <c r="A39" s="9" t="n">
        <v>46117</v>
      </c>
      <c r="B39" s="10" t="n">
        <f aca="false">WEEKDAY(A39,2)</f>
        <v>7</v>
      </c>
      <c r="C39" s="10" t="str">
        <f aca="false">INDEX(Days!$B$2:$B$8,B39)</f>
        <v>Sun</v>
      </c>
      <c r="D39" s="10" t="n">
        <f aca="false">INT((A39-$A$5)/7)+1</f>
        <v>5</v>
      </c>
      <c r="E39" s="10" t="n">
        <v>886</v>
      </c>
    </row>
    <row r="40" customFormat="false" ht="15" hidden="false" customHeight="false" outlineLevel="0" collapsed="false">
      <c r="A40" s="9" t="n">
        <v>46118</v>
      </c>
      <c r="B40" s="10" t="n">
        <f aca="false">WEEKDAY(A40,2)</f>
        <v>1</v>
      </c>
      <c r="C40" s="10" t="str">
        <f aca="false">INDEX(Days!$B$2:$B$8,B40)</f>
        <v>Mon</v>
      </c>
      <c r="D40" s="10" t="n">
        <f aca="false">INT((A40-$A$5)/7)+1</f>
        <v>6</v>
      </c>
      <c r="E40" s="10" t="n">
        <v>1502</v>
      </c>
    </row>
    <row r="41" customFormat="false" ht="15" hidden="false" customHeight="false" outlineLevel="0" collapsed="false">
      <c r="A41" s="9" t="n">
        <v>46119</v>
      </c>
      <c r="B41" s="10" t="n">
        <f aca="false">WEEKDAY(A41,2)</f>
        <v>2</v>
      </c>
      <c r="C41" s="10" t="str">
        <f aca="false">INDEX(Days!$B$2:$B$8,B41)</f>
        <v>Tue</v>
      </c>
      <c r="D41" s="10" t="n">
        <f aca="false">INT((A41-$A$5)/7)+1</f>
        <v>6</v>
      </c>
      <c r="E41" s="10" t="n">
        <v>1435</v>
      </c>
    </row>
    <row r="42" customFormat="false" ht="15" hidden="false" customHeight="false" outlineLevel="0" collapsed="false">
      <c r="A42" s="9" t="n">
        <v>46120</v>
      </c>
      <c r="B42" s="10" t="n">
        <f aca="false">WEEKDAY(A42,2)</f>
        <v>3</v>
      </c>
      <c r="C42" s="10" t="str">
        <f aca="false">INDEX(Days!$B$2:$B$8,B42)</f>
        <v>Wed</v>
      </c>
      <c r="D42" s="10" t="n">
        <f aca="false">INT((A42-$A$5)/7)+1</f>
        <v>6</v>
      </c>
      <c r="E42" s="10" t="n">
        <v>1321</v>
      </c>
    </row>
    <row r="43" customFormat="false" ht="15" hidden="false" customHeight="false" outlineLevel="0" collapsed="false">
      <c r="A43" s="9" t="n">
        <v>46121</v>
      </c>
      <c r="B43" s="10" t="n">
        <f aca="false">WEEKDAY(A43,2)</f>
        <v>4</v>
      </c>
      <c r="C43" s="10" t="str">
        <f aca="false">INDEX(Days!$B$2:$B$8,B43)</f>
        <v>Thu</v>
      </c>
      <c r="D43" s="10" t="n">
        <f aca="false">INT((A43-$A$5)/7)+1</f>
        <v>6</v>
      </c>
      <c r="E43" s="10" t="n">
        <v>1236</v>
      </c>
    </row>
    <row r="44" customFormat="false" ht="15" hidden="false" customHeight="false" outlineLevel="0" collapsed="false">
      <c r="A44" s="9" t="n">
        <v>46122</v>
      </c>
      <c r="B44" s="10" t="n">
        <f aca="false">WEEKDAY(A44,2)</f>
        <v>5</v>
      </c>
      <c r="C44" s="10" t="str">
        <f aca="false">INDEX(Days!$B$2:$B$8,B44)</f>
        <v>Fri</v>
      </c>
      <c r="D44" s="10" t="n">
        <f aca="false">INT((A44-$A$5)/7)+1</f>
        <v>6</v>
      </c>
      <c r="E44" s="10" t="n">
        <v>1202</v>
      </c>
    </row>
    <row r="45" customFormat="false" ht="15" hidden="false" customHeight="false" outlineLevel="0" collapsed="false">
      <c r="A45" s="9" t="n">
        <v>46123</v>
      </c>
      <c r="B45" s="10" t="n">
        <f aca="false">WEEKDAY(A45,2)</f>
        <v>6</v>
      </c>
      <c r="C45" s="10" t="str">
        <f aca="false">INDEX(Days!$B$2:$B$8,B45)</f>
        <v>Sat</v>
      </c>
      <c r="D45" s="10" t="n">
        <f aca="false">INT((A45-$A$5)/7)+1</f>
        <v>6</v>
      </c>
      <c r="E45" s="10" t="n">
        <v>956</v>
      </c>
    </row>
    <row r="46" customFormat="false" ht="15" hidden="false" customHeight="false" outlineLevel="0" collapsed="false">
      <c r="A46" s="9" t="n">
        <v>46124</v>
      </c>
      <c r="B46" s="10" t="n">
        <f aca="false">WEEKDAY(A46,2)</f>
        <v>7</v>
      </c>
      <c r="C46" s="10" t="str">
        <f aca="false">INDEX(Days!$B$2:$B$8,B46)</f>
        <v>Sun</v>
      </c>
      <c r="D46" s="10" t="n">
        <f aca="false">INT((A46-$A$5)/7)+1</f>
        <v>6</v>
      </c>
      <c r="E46" s="10" t="n">
        <v>908</v>
      </c>
    </row>
    <row r="47" customFormat="false" ht="15" hidden="false" customHeight="false" outlineLevel="0" collapsed="false">
      <c r="A47" s="9" t="n">
        <v>46125</v>
      </c>
      <c r="B47" s="10" t="n">
        <f aca="false">WEEKDAY(A47,2)</f>
        <v>1</v>
      </c>
      <c r="C47" s="10" t="str">
        <f aca="false">INDEX(Days!$B$2:$B$8,B47)</f>
        <v>Mon</v>
      </c>
      <c r="D47" s="10" t="n">
        <f aca="false">INT((A47-$A$5)/7)+1</f>
        <v>7</v>
      </c>
      <c r="E47" s="10" t="n">
        <v>1582</v>
      </c>
    </row>
    <row r="48" customFormat="false" ht="15" hidden="false" customHeight="false" outlineLevel="0" collapsed="false">
      <c r="A48" s="9" t="n">
        <v>46126</v>
      </c>
      <c r="B48" s="10" t="n">
        <f aca="false">WEEKDAY(A48,2)</f>
        <v>2</v>
      </c>
      <c r="C48" s="10" t="str">
        <f aca="false">INDEX(Days!$B$2:$B$8,B48)</f>
        <v>Tue</v>
      </c>
      <c r="D48" s="10" t="n">
        <f aca="false">INT((A48-$A$5)/7)+1</f>
        <v>7</v>
      </c>
      <c r="E48" s="10" t="n">
        <v>1445</v>
      </c>
    </row>
    <row r="49" customFormat="false" ht="15" hidden="false" customHeight="false" outlineLevel="0" collapsed="false">
      <c r="A49" s="9" t="n">
        <v>46127</v>
      </c>
      <c r="B49" s="10" t="n">
        <f aca="false">WEEKDAY(A49,2)</f>
        <v>3</v>
      </c>
      <c r="C49" s="10" t="str">
        <f aca="false">INDEX(Days!$B$2:$B$8,B49)</f>
        <v>Wed</v>
      </c>
      <c r="D49" s="10" t="n">
        <f aca="false">INT((A49-$A$5)/7)+1</f>
        <v>7</v>
      </c>
      <c r="E49" s="10" t="n">
        <v>1308</v>
      </c>
    </row>
    <row r="50" customFormat="false" ht="15" hidden="false" customHeight="false" outlineLevel="0" collapsed="false">
      <c r="A50" s="9" t="n">
        <v>46128</v>
      </c>
      <c r="B50" s="10" t="n">
        <f aca="false">WEEKDAY(A50,2)</f>
        <v>4</v>
      </c>
      <c r="C50" s="10" t="str">
        <f aca="false">INDEX(Days!$B$2:$B$8,B50)</f>
        <v>Thu</v>
      </c>
      <c r="D50" s="10" t="n">
        <f aca="false">INT((A50-$A$5)/7)+1</f>
        <v>7</v>
      </c>
      <c r="E50" s="10" t="n">
        <v>1269</v>
      </c>
    </row>
    <row r="51" customFormat="false" ht="15" hidden="false" customHeight="false" outlineLevel="0" collapsed="false">
      <c r="A51" s="9" t="n">
        <v>46129</v>
      </c>
      <c r="B51" s="10" t="n">
        <f aca="false">WEEKDAY(A51,2)</f>
        <v>5</v>
      </c>
      <c r="C51" s="10" t="str">
        <f aca="false">INDEX(Days!$B$2:$B$8,B51)</f>
        <v>Fri</v>
      </c>
      <c r="D51" s="10" t="n">
        <f aca="false">INT((A51-$A$5)/7)+1</f>
        <v>7</v>
      </c>
      <c r="E51" s="10" t="n">
        <v>1202</v>
      </c>
    </row>
    <row r="52" customFormat="false" ht="15" hidden="false" customHeight="false" outlineLevel="0" collapsed="false">
      <c r="A52" s="9" t="n">
        <v>46130</v>
      </c>
      <c r="B52" s="10" t="n">
        <f aca="false">WEEKDAY(A52,2)</f>
        <v>6</v>
      </c>
      <c r="C52" s="10" t="str">
        <f aca="false">INDEX(Days!$B$2:$B$8,B52)</f>
        <v>Sat</v>
      </c>
      <c r="D52" s="10" t="n">
        <f aca="false">INT((A52-$A$5)/7)+1</f>
        <v>7</v>
      </c>
      <c r="E52" s="10" t="n">
        <v>993</v>
      </c>
    </row>
    <row r="53" customFormat="false" ht="15" hidden="false" customHeight="false" outlineLevel="0" collapsed="false">
      <c r="A53" s="9" t="n">
        <v>46131</v>
      </c>
      <c r="B53" s="10" t="n">
        <f aca="false">WEEKDAY(A53,2)</f>
        <v>7</v>
      </c>
      <c r="C53" s="10" t="str">
        <f aca="false">INDEX(Days!$B$2:$B$8,B53)</f>
        <v>Sun</v>
      </c>
      <c r="D53" s="10" t="n">
        <f aca="false">INT((A53-$A$5)/7)+1</f>
        <v>7</v>
      </c>
      <c r="E53" s="10" t="n">
        <v>944</v>
      </c>
    </row>
    <row r="54" customFormat="false" ht="15" hidden="false" customHeight="false" outlineLevel="0" collapsed="false">
      <c r="A54" s="9" t="n">
        <v>46132</v>
      </c>
      <c r="B54" s="10" t="n">
        <f aca="false">WEEKDAY(A54,2)</f>
        <v>1</v>
      </c>
      <c r="C54" s="10" t="str">
        <f aca="false">INDEX(Days!$B$2:$B$8,B54)</f>
        <v>Mon</v>
      </c>
      <c r="D54" s="10" t="n">
        <f aca="false">INT((A54-$A$5)/7)+1</f>
        <v>8</v>
      </c>
      <c r="E54" s="10" t="n">
        <v>1527</v>
      </c>
    </row>
    <row r="55" customFormat="false" ht="15" hidden="false" customHeight="false" outlineLevel="0" collapsed="false">
      <c r="A55" s="9" t="n">
        <v>46133</v>
      </c>
      <c r="B55" s="10" t="n">
        <f aca="false">WEEKDAY(A55,2)</f>
        <v>2</v>
      </c>
      <c r="C55" s="10" t="str">
        <f aca="false">INDEX(Days!$B$2:$B$8,B55)</f>
        <v>Tue</v>
      </c>
      <c r="D55" s="10" t="n">
        <f aca="false">INT((A55-$A$5)/7)+1</f>
        <v>8</v>
      </c>
      <c r="E55" s="10" t="n">
        <v>1484</v>
      </c>
    </row>
    <row r="56" customFormat="false" ht="15" hidden="false" customHeight="false" outlineLevel="0" collapsed="false">
      <c r="A56" s="9" t="n">
        <v>46134</v>
      </c>
      <c r="B56" s="10" t="n">
        <f aca="false">WEEKDAY(A56,2)</f>
        <v>3</v>
      </c>
      <c r="C56" s="10" t="str">
        <f aca="false">INDEX(Days!$B$2:$B$8,B56)</f>
        <v>Wed</v>
      </c>
      <c r="D56" s="10" t="n">
        <f aca="false">INT((A56-$A$5)/7)+1</f>
        <v>8</v>
      </c>
      <c r="E56" s="10" t="n">
        <v>1301</v>
      </c>
    </row>
    <row r="57" customFormat="false" ht="15" hidden="false" customHeight="false" outlineLevel="0" collapsed="false">
      <c r="A57" s="9" t="n">
        <v>46135</v>
      </c>
      <c r="B57" s="10" t="n">
        <f aca="false">WEEKDAY(A57,2)</f>
        <v>4</v>
      </c>
      <c r="C57" s="10" t="str">
        <f aca="false">INDEX(Days!$B$2:$B$8,B57)</f>
        <v>Thu</v>
      </c>
      <c r="D57" s="10" t="n">
        <f aca="false">INT((A57-$A$5)/7)+1</f>
        <v>8</v>
      </c>
      <c r="E57" s="10" t="n">
        <v>1259</v>
      </c>
    </row>
    <row r="58" customFormat="false" ht="15" hidden="false" customHeight="false" outlineLevel="0" collapsed="false">
      <c r="A58" s="9" t="n">
        <v>46136</v>
      </c>
      <c r="B58" s="10" t="n">
        <f aca="false">WEEKDAY(A58,2)</f>
        <v>5</v>
      </c>
      <c r="C58" s="10" t="str">
        <f aca="false">INDEX(Days!$B$2:$B$8,B58)</f>
        <v>Fri</v>
      </c>
      <c r="D58" s="10" t="n">
        <f aca="false">INT((A58-$A$5)/7)+1</f>
        <v>8</v>
      </c>
      <c r="E58" s="10" t="n">
        <v>1230</v>
      </c>
    </row>
    <row r="59" customFormat="false" ht="15" hidden="false" customHeight="false" outlineLevel="0" collapsed="false">
      <c r="A59" s="9" t="n">
        <v>46137</v>
      </c>
      <c r="B59" s="10" t="n">
        <f aca="false">WEEKDAY(A59,2)</f>
        <v>6</v>
      </c>
      <c r="C59" s="10" t="str">
        <f aca="false">INDEX(Days!$B$2:$B$8,B59)</f>
        <v>Sat</v>
      </c>
      <c r="D59" s="10" t="n">
        <f aca="false">INT((A59-$A$5)/7)+1</f>
        <v>8</v>
      </c>
      <c r="E59" s="10" t="n">
        <v>942</v>
      </c>
    </row>
    <row r="60" customFormat="false" ht="15" hidden="false" customHeight="false" outlineLevel="0" collapsed="false">
      <c r="A60" s="9" t="n">
        <v>46138</v>
      </c>
      <c r="B60" s="10" t="n">
        <f aca="false">WEEKDAY(A60,2)</f>
        <v>7</v>
      </c>
      <c r="C60" s="10" t="str">
        <f aca="false">INDEX(Days!$B$2:$B$8,B60)</f>
        <v>Sun</v>
      </c>
      <c r="D60" s="10" t="n">
        <f aca="false">INT((A60-$A$5)/7)+1</f>
        <v>8</v>
      </c>
      <c r="E60" s="10" t="n">
        <v>931</v>
      </c>
    </row>
    <row r="61" customFormat="false" ht="15" hidden="false" customHeight="false" outlineLevel="0" collapsed="false">
      <c r="A61" s="9" t="n">
        <v>46139</v>
      </c>
      <c r="B61" s="10" t="n">
        <f aca="false">WEEKDAY(A61,2)</f>
        <v>1</v>
      </c>
      <c r="C61" s="10" t="str">
        <f aca="false">INDEX(Days!$B$2:$B$8,B61)</f>
        <v>Mon</v>
      </c>
      <c r="D61" s="10" t="n">
        <f aca="false">INT((A61-$A$5)/7)+1</f>
        <v>9</v>
      </c>
      <c r="E61" s="10" t="n">
        <v>1504</v>
      </c>
    </row>
    <row r="62" customFormat="false" ht="15" hidden="false" customHeight="false" outlineLevel="0" collapsed="false">
      <c r="A62" s="9" t="n">
        <v>46140</v>
      </c>
      <c r="B62" s="10" t="n">
        <f aca="false">WEEKDAY(A62,2)</f>
        <v>2</v>
      </c>
      <c r="C62" s="10" t="str">
        <f aca="false">INDEX(Days!$B$2:$B$8,B62)</f>
        <v>Tue</v>
      </c>
      <c r="D62" s="10" t="n">
        <f aca="false">INT((A62-$A$5)/7)+1</f>
        <v>9</v>
      </c>
      <c r="E62" s="10" t="n">
        <v>1456</v>
      </c>
    </row>
    <row r="63" customFormat="false" ht="15" hidden="false" customHeight="false" outlineLevel="0" collapsed="false">
      <c r="A63" s="9" t="n">
        <v>46141</v>
      </c>
      <c r="B63" s="10" t="n">
        <f aca="false">WEEKDAY(A63,2)</f>
        <v>3</v>
      </c>
      <c r="C63" s="10" t="str">
        <f aca="false">INDEX(Days!$B$2:$B$8,B63)</f>
        <v>Wed</v>
      </c>
      <c r="D63" s="10" t="n">
        <f aca="false">INT((A63-$A$5)/7)+1</f>
        <v>9</v>
      </c>
      <c r="E63" s="10" t="n">
        <v>1377</v>
      </c>
    </row>
    <row r="64" customFormat="false" ht="15" hidden="false" customHeight="false" outlineLevel="0" collapsed="false">
      <c r="A64" s="9" t="n">
        <v>46142</v>
      </c>
      <c r="B64" s="10" t="n">
        <f aca="false">WEEKDAY(A64,2)</f>
        <v>4</v>
      </c>
      <c r="C64" s="10" t="str">
        <f aca="false">INDEX(Days!$B$2:$B$8,B64)</f>
        <v>Thu</v>
      </c>
      <c r="D64" s="10" t="n">
        <f aca="false">INT((A64-$A$5)/7)+1</f>
        <v>9</v>
      </c>
      <c r="E64" s="10" t="n">
        <v>1281</v>
      </c>
    </row>
    <row r="65" customFormat="false" ht="15" hidden="false" customHeight="false" outlineLevel="0" collapsed="false">
      <c r="A65" s="9" t="n">
        <v>46143</v>
      </c>
      <c r="B65" s="10" t="n">
        <f aca="false">WEEKDAY(A65,2)</f>
        <v>5</v>
      </c>
      <c r="C65" s="10" t="str">
        <f aca="false">INDEX(Days!$B$2:$B$8,B65)</f>
        <v>Fri</v>
      </c>
      <c r="D65" s="10" t="n">
        <f aca="false">INT((A65-$A$5)/7)+1</f>
        <v>9</v>
      </c>
      <c r="E65" s="10" t="n">
        <v>1248</v>
      </c>
    </row>
    <row r="66" customFormat="false" ht="15" hidden="false" customHeight="false" outlineLevel="0" collapsed="false">
      <c r="A66" s="9" t="n">
        <v>46144</v>
      </c>
      <c r="B66" s="10" t="n">
        <f aca="false">WEEKDAY(A66,2)</f>
        <v>6</v>
      </c>
      <c r="C66" s="10" t="str">
        <f aca="false">INDEX(Days!$B$2:$B$8,B66)</f>
        <v>Sat</v>
      </c>
      <c r="D66" s="10" t="n">
        <f aca="false">INT((A66-$A$5)/7)+1</f>
        <v>9</v>
      </c>
      <c r="E66" s="10" t="n">
        <v>960</v>
      </c>
    </row>
    <row r="67" customFormat="false" ht="15" hidden="false" customHeight="false" outlineLevel="0" collapsed="false">
      <c r="A67" s="9" t="n">
        <v>46145</v>
      </c>
      <c r="B67" s="10" t="n">
        <f aca="false">WEEKDAY(A67,2)</f>
        <v>7</v>
      </c>
      <c r="C67" s="10" t="str">
        <f aca="false">INDEX(Days!$B$2:$B$8,B67)</f>
        <v>Sun</v>
      </c>
      <c r="D67" s="10" t="n">
        <f aca="false">INT((A67-$A$5)/7)+1</f>
        <v>9</v>
      </c>
      <c r="E67" s="10" t="n">
        <v>951</v>
      </c>
    </row>
    <row r="68" customFormat="false" ht="15" hidden="false" customHeight="false" outlineLevel="0" collapsed="false">
      <c r="A68" s="9" t="n">
        <v>46146</v>
      </c>
      <c r="B68" s="10" t="n">
        <f aca="false">WEEKDAY(A68,2)</f>
        <v>1</v>
      </c>
      <c r="C68" s="10" t="str">
        <f aca="false">INDEX(Days!$B$2:$B$8,B68)</f>
        <v>Mon</v>
      </c>
      <c r="D68" s="10" t="n">
        <f aca="false">INT((A68-$A$5)/7)+1</f>
        <v>10</v>
      </c>
      <c r="E68" s="10" t="n">
        <v>1581</v>
      </c>
    </row>
    <row r="69" customFormat="false" ht="15" hidden="false" customHeight="false" outlineLevel="0" collapsed="false">
      <c r="A69" s="9" t="n">
        <v>46147</v>
      </c>
      <c r="B69" s="10" t="n">
        <f aca="false">WEEKDAY(A69,2)</f>
        <v>2</v>
      </c>
      <c r="C69" s="10" t="str">
        <f aca="false">INDEX(Days!$B$2:$B$8,B69)</f>
        <v>Tue</v>
      </c>
      <c r="D69" s="10" t="n">
        <f aca="false">INT((A69-$A$5)/7)+1</f>
        <v>10</v>
      </c>
      <c r="E69" s="10" t="n">
        <v>1453</v>
      </c>
    </row>
    <row r="70" customFormat="false" ht="15" hidden="false" customHeight="false" outlineLevel="0" collapsed="false">
      <c r="A70" s="9" t="n">
        <v>46148</v>
      </c>
      <c r="B70" s="10" t="n">
        <f aca="false">WEEKDAY(A70,2)</f>
        <v>3</v>
      </c>
      <c r="C70" s="10" t="str">
        <f aca="false">INDEX(Days!$B$2:$B$8,B70)</f>
        <v>Wed</v>
      </c>
      <c r="D70" s="10" t="n">
        <f aca="false">INT((A70-$A$5)/7)+1</f>
        <v>10</v>
      </c>
      <c r="E70" s="10" t="n">
        <v>1351</v>
      </c>
    </row>
    <row r="71" customFormat="false" ht="15" hidden="false" customHeight="false" outlineLevel="0" collapsed="false">
      <c r="A71" s="9" t="n">
        <v>46149</v>
      </c>
      <c r="B71" s="10" t="n">
        <f aca="false">WEEKDAY(A71,2)</f>
        <v>4</v>
      </c>
      <c r="C71" s="10" t="str">
        <f aca="false">INDEX(Days!$B$2:$B$8,B71)</f>
        <v>Thu</v>
      </c>
      <c r="D71" s="10" t="n">
        <f aca="false">INT((A71-$A$5)/7)+1</f>
        <v>10</v>
      </c>
      <c r="E71" s="10" t="n">
        <v>1315</v>
      </c>
    </row>
    <row r="72" customFormat="false" ht="15" hidden="false" customHeight="false" outlineLevel="0" collapsed="false">
      <c r="A72" s="9" t="n">
        <v>46150</v>
      </c>
      <c r="B72" s="10" t="n">
        <f aca="false">WEEKDAY(A72,2)</f>
        <v>5</v>
      </c>
      <c r="C72" s="10" t="str">
        <f aca="false">INDEX(Days!$B$2:$B$8,B72)</f>
        <v>Fri</v>
      </c>
      <c r="D72" s="10" t="n">
        <f aca="false">INT((A72-$A$5)/7)+1</f>
        <v>10</v>
      </c>
      <c r="E72" s="10" t="n">
        <v>1261</v>
      </c>
    </row>
    <row r="73" customFormat="false" ht="15" hidden="false" customHeight="false" outlineLevel="0" collapsed="false">
      <c r="A73" s="9" t="n">
        <v>46151</v>
      </c>
      <c r="B73" s="10" t="n">
        <f aca="false">WEEKDAY(A73,2)</f>
        <v>6</v>
      </c>
      <c r="C73" s="10" t="str">
        <f aca="false">INDEX(Days!$B$2:$B$8,B73)</f>
        <v>Sat</v>
      </c>
      <c r="D73" s="10" t="n">
        <f aca="false">INT((A73-$A$5)/7)+1</f>
        <v>10</v>
      </c>
      <c r="E73" s="10" t="n">
        <v>977</v>
      </c>
    </row>
    <row r="74" customFormat="false" ht="15" hidden="false" customHeight="false" outlineLevel="0" collapsed="false">
      <c r="A74" s="9" t="n">
        <v>46152</v>
      </c>
      <c r="B74" s="10" t="n">
        <f aca="false">WEEKDAY(A74,2)</f>
        <v>7</v>
      </c>
      <c r="C74" s="10" t="str">
        <f aca="false">INDEX(Days!$B$2:$B$8,B74)</f>
        <v>Sun</v>
      </c>
      <c r="D74" s="10" t="n">
        <f aca="false">INT((A74-$A$5)/7)+1</f>
        <v>10</v>
      </c>
      <c r="E74" s="10" t="n">
        <v>954</v>
      </c>
    </row>
    <row r="75" customFormat="false" ht="15" hidden="false" customHeight="false" outlineLevel="0" collapsed="false">
      <c r="A75" s="9" t="n">
        <v>46153</v>
      </c>
      <c r="B75" s="10" t="n">
        <f aca="false">WEEKDAY(A75,2)</f>
        <v>1</v>
      </c>
      <c r="C75" s="10" t="str">
        <f aca="false">INDEX(Days!$B$2:$B$8,B75)</f>
        <v>Mon</v>
      </c>
      <c r="D75" s="10" t="n">
        <f aca="false">INT((A75-$A$5)/7)+1</f>
        <v>11</v>
      </c>
      <c r="E75" s="10" t="n">
        <v>1521</v>
      </c>
    </row>
    <row r="76" customFormat="false" ht="15" hidden="false" customHeight="false" outlineLevel="0" collapsed="false">
      <c r="A76" s="9" t="n">
        <v>46154</v>
      </c>
      <c r="B76" s="10" t="n">
        <f aca="false">WEEKDAY(A76,2)</f>
        <v>2</v>
      </c>
      <c r="C76" s="10" t="str">
        <f aca="false">INDEX(Days!$B$2:$B$8,B76)</f>
        <v>Tue</v>
      </c>
      <c r="D76" s="10" t="n">
        <f aca="false">INT((A76-$A$5)/7)+1</f>
        <v>11</v>
      </c>
      <c r="E76" s="10" t="n">
        <v>1474</v>
      </c>
    </row>
    <row r="77" customFormat="false" ht="15" hidden="false" customHeight="false" outlineLevel="0" collapsed="false">
      <c r="A77" s="9" t="n">
        <v>46155</v>
      </c>
      <c r="B77" s="10" t="n">
        <f aca="false">WEEKDAY(A77,2)</f>
        <v>3</v>
      </c>
      <c r="C77" s="10" t="str">
        <f aca="false">INDEX(Days!$B$2:$B$8,B77)</f>
        <v>Wed</v>
      </c>
      <c r="D77" s="10" t="n">
        <f aca="false">INT((A77-$A$5)/7)+1</f>
        <v>11</v>
      </c>
      <c r="E77" s="10" t="n">
        <v>1378</v>
      </c>
    </row>
    <row r="78" customFormat="false" ht="15" hidden="false" customHeight="false" outlineLevel="0" collapsed="false">
      <c r="A78" s="9" t="n">
        <v>46156</v>
      </c>
      <c r="B78" s="10" t="n">
        <f aca="false">WEEKDAY(A78,2)</f>
        <v>4</v>
      </c>
      <c r="C78" s="10" t="str">
        <f aca="false">INDEX(Days!$B$2:$B$8,B78)</f>
        <v>Thu</v>
      </c>
      <c r="D78" s="10" t="n">
        <f aca="false">INT((A78-$A$5)/7)+1</f>
        <v>11</v>
      </c>
      <c r="E78" s="10" t="n">
        <v>1337</v>
      </c>
    </row>
    <row r="79" customFormat="false" ht="15" hidden="false" customHeight="false" outlineLevel="0" collapsed="false">
      <c r="A79" s="9" t="n">
        <v>46157</v>
      </c>
      <c r="B79" s="10" t="n">
        <f aca="false">WEEKDAY(A79,2)</f>
        <v>5</v>
      </c>
      <c r="C79" s="10" t="str">
        <f aca="false">INDEX(Days!$B$2:$B$8,B79)</f>
        <v>Fri</v>
      </c>
      <c r="D79" s="10" t="n">
        <f aca="false">INT((A79-$A$5)/7)+1</f>
        <v>11</v>
      </c>
      <c r="E79" s="10" t="n">
        <v>1255</v>
      </c>
    </row>
    <row r="80" customFormat="false" ht="15" hidden="false" customHeight="false" outlineLevel="0" collapsed="false">
      <c r="A80" s="9" t="n">
        <v>46158</v>
      </c>
      <c r="B80" s="10" t="n">
        <f aca="false">WEEKDAY(A80,2)</f>
        <v>6</v>
      </c>
      <c r="C80" s="10" t="str">
        <f aca="false">INDEX(Days!$B$2:$B$8,B80)</f>
        <v>Sat</v>
      </c>
      <c r="D80" s="10" t="n">
        <f aca="false">INT((A80-$A$5)/7)+1</f>
        <v>11</v>
      </c>
      <c r="E80" s="10" t="n">
        <v>967</v>
      </c>
    </row>
    <row r="81" customFormat="false" ht="15" hidden="false" customHeight="false" outlineLevel="0" collapsed="false">
      <c r="A81" s="9" t="n">
        <v>46159</v>
      </c>
      <c r="B81" s="10" t="n">
        <f aca="false">WEEKDAY(A81,2)</f>
        <v>7</v>
      </c>
      <c r="C81" s="10" t="str">
        <f aca="false">INDEX(Days!$B$2:$B$8,B81)</f>
        <v>Sun</v>
      </c>
      <c r="D81" s="10" t="n">
        <f aca="false">INT((A81-$A$5)/7)+1</f>
        <v>11</v>
      </c>
      <c r="E81" s="10" t="n">
        <v>937</v>
      </c>
    </row>
    <row r="82" customFormat="false" ht="15" hidden="false" customHeight="false" outlineLevel="0" collapsed="false">
      <c r="A82" s="9" t="n">
        <v>46160</v>
      </c>
      <c r="B82" s="10" t="n">
        <f aca="false">WEEKDAY(A82,2)</f>
        <v>1</v>
      </c>
      <c r="C82" s="10" t="str">
        <f aca="false">INDEX(Days!$B$2:$B$8,B82)</f>
        <v>Mon</v>
      </c>
      <c r="D82" s="10" t="n">
        <f aca="false">INT((A82-$A$5)/7)+1</f>
        <v>12</v>
      </c>
      <c r="E82" s="10" t="n">
        <v>1606</v>
      </c>
    </row>
    <row r="83" customFormat="false" ht="15" hidden="false" customHeight="false" outlineLevel="0" collapsed="false">
      <c r="A83" s="9" t="n">
        <v>46161</v>
      </c>
      <c r="B83" s="10" t="n">
        <f aca="false">WEEKDAY(A83,2)</f>
        <v>2</v>
      </c>
      <c r="C83" s="10" t="str">
        <f aca="false">INDEX(Days!$B$2:$B$8,B83)</f>
        <v>Tue</v>
      </c>
      <c r="D83" s="10" t="n">
        <f aca="false">INT((A83-$A$5)/7)+1</f>
        <v>12</v>
      </c>
      <c r="E83" s="10" t="n">
        <v>1402</v>
      </c>
    </row>
    <row r="84" customFormat="false" ht="15" hidden="false" customHeight="false" outlineLevel="0" collapsed="false">
      <c r="A84" s="9" t="n">
        <v>46162</v>
      </c>
      <c r="B84" s="10" t="n">
        <f aca="false">WEEKDAY(A84,2)</f>
        <v>3</v>
      </c>
      <c r="C84" s="10" t="str">
        <f aca="false">INDEX(Days!$B$2:$B$8,B84)</f>
        <v>Wed</v>
      </c>
      <c r="D84" s="10" t="n">
        <f aca="false">INT((A84-$A$5)/7)+1</f>
        <v>12</v>
      </c>
      <c r="E84" s="10" t="n">
        <v>1365</v>
      </c>
    </row>
    <row r="85" customFormat="false" ht="15" hidden="false" customHeight="false" outlineLevel="0" collapsed="false">
      <c r="A85" s="9" t="n">
        <v>46163</v>
      </c>
      <c r="B85" s="10" t="n">
        <f aca="false">WEEKDAY(A85,2)</f>
        <v>4</v>
      </c>
      <c r="C85" s="10" t="str">
        <f aca="false">INDEX(Days!$B$2:$B$8,B85)</f>
        <v>Thu</v>
      </c>
      <c r="D85" s="10" t="n">
        <f aca="false">INT((A85-$A$5)/7)+1</f>
        <v>12</v>
      </c>
      <c r="E85" s="10" t="n">
        <v>1259</v>
      </c>
    </row>
    <row r="86" customFormat="false" ht="15" hidden="false" customHeight="false" outlineLevel="0" collapsed="false">
      <c r="A86" s="9" t="n">
        <v>46164</v>
      </c>
      <c r="B86" s="10" t="n">
        <f aca="false">WEEKDAY(A86,2)</f>
        <v>5</v>
      </c>
      <c r="C86" s="10" t="str">
        <f aca="false">INDEX(Days!$B$2:$B$8,B86)</f>
        <v>Fri</v>
      </c>
      <c r="D86" s="10" t="n">
        <f aca="false">INT((A86-$A$5)/7)+1</f>
        <v>12</v>
      </c>
      <c r="E86" s="10" t="n">
        <v>1192</v>
      </c>
    </row>
    <row r="87" customFormat="false" ht="15" hidden="false" customHeight="false" outlineLevel="0" collapsed="false">
      <c r="A87" s="9" t="n">
        <v>46165</v>
      </c>
      <c r="B87" s="10" t="n">
        <f aca="false">WEEKDAY(A87,2)</f>
        <v>6</v>
      </c>
      <c r="C87" s="10" t="str">
        <f aca="false">INDEX(Days!$B$2:$B$8,B87)</f>
        <v>Sat</v>
      </c>
      <c r="D87" s="10" t="n">
        <f aca="false">INT((A87-$A$5)/7)+1</f>
        <v>12</v>
      </c>
      <c r="E87" s="10" t="n">
        <v>954</v>
      </c>
    </row>
    <row r="88" customFormat="false" ht="15" hidden="false" customHeight="false" outlineLevel="0" collapsed="false">
      <c r="A88" s="9" t="n">
        <v>46166</v>
      </c>
      <c r="B88" s="10" t="n">
        <f aca="false">WEEKDAY(A88,2)</f>
        <v>7</v>
      </c>
      <c r="C88" s="10" t="str">
        <f aca="false">INDEX(Days!$B$2:$B$8,B88)</f>
        <v>Sun</v>
      </c>
      <c r="D88" s="10" t="n">
        <f aca="false">INT((A88-$A$5)/7)+1</f>
        <v>12</v>
      </c>
      <c r="E88" s="10" t="n">
        <v>971</v>
      </c>
    </row>
    <row r="89" customFormat="false" ht="15" hidden="false" customHeight="false" outlineLevel="0" collapsed="false">
      <c r="A89" s="9" t="n">
        <v>46167</v>
      </c>
      <c r="B89" s="10" t="n">
        <f aca="false">WEEKDAY(A89,2)</f>
        <v>1</v>
      </c>
      <c r="C89" s="10" t="str">
        <f aca="false">INDEX(Days!$B$2:$B$8,B89)</f>
        <v>Mon</v>
      </c>
      <c r="D89" s="10" t="n">
        <f aca="false">INT((A89-$A$5)/7)+1</f>
        <v>13</v>
      </c>
      <c r="E89" s="10" t="n">
        <v>1545</v>
      </c>
    </row>
    <row r="90" customFormat="false" ht="15" hidden="false" customHeight="false" outlineLevel="0" collapsed="false">
      <c r="A90" s="9" t="n">
        <v>46168</v>
      </c>
      <c r="B90" s="10" t="n">
        <f aca="false">WEEKDAY(A90,2)</f>
        <v>2</v>
      </c>
      <c r="C90" s="10" t="str">
        <f aca="false">INDEX(Days!$B$2:$B$8,B90)</f>
        <v>Tue</v>
      </c>
      <c r="D90" s="10" t="n">
        <f aca="false">INT((A90-$A$5)/7)+1</f>
        <v>13</v>
      </c>
      <c r="E90" s="10" t="n">
        <v>1436</v>
      </c>
    </row>
    <row r="91" customFormat="false" ht="15" hidden="false" customHeight="false" outlineLevel="0" collapsed="false">
      <c r="A91" s="9" t="n">
        <v>46169</v>
      </c>
      <c r="B91" s="10" t="n">
        <f aca="false">WEEKDAY(A91,2)</f>
        <v>3</v>
      </c>
      <c r="C91" s="10" t="str">
        <f aca="false">INDEX(Days!$B$2:$B$8,B91)</f>
        <v>Wed</v>
      </c>
      <c r="D91" s="10" t="n">
        <f aca="false">INT((A91-$A$5)/7)+1</f>
        <v>13</v>
      </c>
      <c r="E91" s="10" t="n">
        <v>1364</v>
      </c>
    </row>
    <row r="92" customFormat="false" ht="15" hidden="false" customHeight="false" outlineLevel="0" collapsed="false">
      <c r="A92" s="9" t="n">
        <v>46170</v>
      </c>
      <c r="B92" s="10" t="n">
        <f aca="false">WEEKDAY(A92,2)</f>
        <v>4</v>
      </c>
      <c r="C92" s="10" t="str">
        <f aca="false">INDEX(Days!$B$2:$B$8,B92)</f>
        <v>Thu</v>
      </c>
      <c r="D92" s="10" t="n">
        <f aca="false">INT((A92-$A$5)/7)+1</f>
        <v>13</v>
      </c>
      <c r="E92" s="10" t="n">
        <v>1338</v>
      </c>
    </row>
    <row r="93" customFormat="false" ht="15" hidden="false" customHeight="false" outlineLevel="0" collapsed="false">
      <c r="A93" s="9" t="n">
        <v>46171</v>
      </c>
      <c r="B93" s="10" t="n">
        <f aca="false">WEEKDAY(A93,2)</f>
        <v>5</v>
      </c>
      <c r="C93" s="10" t="str">
        <f aca="false">INDEX(Days!$B$2:$B$8,B93)</f>
        <v>Fri</v>
      </c>
      <c r="D93" s="10" t="n">
        <f aca="false">INT((A93-$A$5)/7)+1</f>
        <v>13</v>
      </c>
      <c r="E93" s="10" t="n">
        <v>1194</v>
      </c>
    </row>
    <row r="94" customFormat="false" ht="15" hidden="false" customHeight="false" outlineLevel="0" collapsed="false">
      <c r="A94" s="9" t="n">
        <v>46172</v>
      </c>
      <c r="B94" s="10" t="n">
        <f aca="false">WEEKDAY(A94,2)</f>
        <v>6</v>
      </c>
      <c r="C94" s="10" t="str">
        <f aca="false">INDEX(Days!$B$2:$B$8,B94)</f>
        <v>Sat</v>
      </c>
      <c r="D94" s="10" t="n">
        <f aca="false">INT((A94-$A$5)/7)+1</f>
        <v>13</v>
      </c>
      <c r="E94" s="10" t="n">
        <v>990</v>
      </c>
    </row>
    <row r="95" customFormat="false" ht="15" hidden="false" customHeight="false" outlineLevel="0" collapsed="false">
      <c r="A95" s="9" t="n">
        <v>46173</v>
      </c>
      <c r="B95" s="10" t="n">
        <f aca="false">WEEKDAY(A95,2)</f>
        <v>7</v>
      </c>
      <c r="C95" s="10" t="str">
        <f aca="false">INDEX(Days!$B$2:$B$8,B95)</f>
        <v>Sun</v>
      </c>
      <c r="D95" s="10" t="n">
        <f aca="false">INT((A95-$A$5)/7)+1</f>
        <v>13</v>
      </c>
      <c r="E95" s="10" t="n">
        <v>959</v>
      </c>
    </row>
    <row r="96" customFormat="false" ht="15" hidden="false" customHeight="false" outlineLevel="0" collapsed="false">
      <c r="A96" s="9" t="n">
        <v>46174</v>
      </c>
      <c r="B96" s="10" t="n">
        <f aca="false">WEEKDAY(A96,2)</f>
        <v>1</v>
      </c>
      <c r="C96" s="10" t="str">
        <f aca="false">INDEX(Days!$B$2:$B$8,B96)</f>
        <v>Mon</v>
      </c>
      <c r="D96" s="10" t="n">
        <f aca="false">INT((A96-$A$5)/7)+1</f>
        <v>14</v>
      </c>
      <c r="E96" s="10" t="n">
        <v>1650</v>
      </c>
    </row>
    <row r="97" customFormat="false" ht="15" hidden="false" customHeight="false" outlineLevel="0" collapsed="false">
      <c r="A97" s="9" t="n">
        <v>46175</v>
      </c>
      <c r="B97" s="10" t="n">
        <f aca="false">WEEKDAY(A97,2)</f>
        <v>2</v>
      </c>
      <c r="C97" s="10" t="str">
        <f aca="false">INDEX(Days!$B$2:$B$8,B97)</f>
        <v>Tue</v>
      </c>
      <c r="D97" s="10" t="n">
        <f aca="false">INT((A97-$A$5)/7)+1</f>
        <v>14</v>
      </c>
      <c r="E97" s="10" t="n">
        <v>1510</v>
      </c>
    </row>
    <row r="98" customFormat="false" ht="15" hidden="false" customHeight="false" outlineLevel="0" collapsed="false">
      <c r="A98" s="9" t="n">
        <v>46176</v>
      </c>
      <c r="B98" s="10" t="n">
        <f aca="false">WEEKDAY(A98,2)</f>
        <v>3</v>
      </c>
      <c r="C98" s="10" t="str">
        <f aca="false">INDEX(Days!$B$2:$B$8,B98)</f>
        <v>Wed</v>
      </c>
      <c r="D98" s="10" t="n">
        <f aca="false">INT((A98-$A$5)/7)+1</f>
        <v>14</v>
      </c>
      <c r="E98" s="10" t="n">
        <v>1423</v>
      </c>
    </row>
    <row r="99" customFormat="false" ht="15" hidden="false" customHeight="false" outlineLevel="0" collapsed="false">
      <c r="A99" s="9" t="n">
        <v>46177</v>
      </c>
      <c r="B99" s="10" t="n">
        <f aca="false">WEEKDAY(A99,2)</f>
        <v>4</v>
      </c>
      <c r="C99" s="10" t="str">
        <f aca="false">INDEX(Days!$B$2:$B$8,B99)</f>
        <v>Thu</v>
      </c>
      <c r="D99" s="10" t="n">
        <f aca="false">INT((A99-$A$5)/7)+1</f>
        <v>14</v>
      </c>
      <c r="E99" s="10" t="n">
        <v>1283</v>
      </c>
    </row>
    <row r="100" customFormat="false" ht="15" hidden="false" customHeight="false" outlineLevel="0" collapsed="false">
      <c r="A100" s="9" t="n">
        <v>46178</v>
      </c>
      <c r="B100" s="10" t="n">
        <f aca="false">WEEKDAY(A100,2)</f>
        <v>5</v>
      </c>
      <c r="C100" s="10" t="str">
        <f aca="false">INDEX(Days!$B$2:$B$8,B100)</f>
        <v>Fri</v>
      </c>
      <c r="D100" s="10" t="n">
        <f aca="false">INT((A100-$A$5)/7)+1</f>
        <v>14</v>
      </c>
      <c r="E100" s="10" t="n">
        <v>1234</v>
      </c>
    </row>
    <row r="101" customFormat="false" ht="15" hidden="false" customHeight="false" outlineLevel="0" collapsed="false">
      <c r="A101" s="9" t="n">
        <v>46179</v>
      </c>
      <c r="B101" s="10" t="n">
        <f aca="false">WEEKDAY(A101,2)</f>
        <v>6</v>
      </c>
      <c r="C101" s="10" t="str">
        <f aca="false">INDEX(Days!$B$2:$B$8,B101)</f>
        <v>Sat</v>
      </c>
      <c r="D101" s="10" t="n">
        <f aca="false">INT((A101-$A$5)/7)+1</f>
        <v>14</v>
      </c>
      <c r="E101" s="10" t="n">
        <v>987</v>
      </c>
    </row>
    <row r="102" customFormat="false" ht="15" hidden="false" customHeight="false" outlineLevel="0" collapsed="false">
      <c r="A102" s="9" t="n">
        <v>46180</v>
      </c>
      <c r="B102" s="10" t="n">
        <f aca="false">WEEKDAY(A102,2)</f>
        <v>7</v>
      </c>
      <c r="C102" s="10" t="str">
        <f aca="false">INDEX(Days!$B$2:$B$8,B102)</f>
        <v>Sun</v>
      </c>
      <c r="D102" s="10" t="n">
        <f aca="false">INT((A102-$A$5)/7)+1</f>
        <v>14</v>
      </c>
      <c r="E102" s="10" t="n">
        <v>990</v>
      </c>
    </row>
    <row r="103" customFormat="false" ht="15" hidden="false" customHeight="false" outlineLevel="0" collapsed="false">
      <c r="A103" s="9" t="n">
        <v>46181</v>
      </c>
      <c r="B103" s="10" t="n">
        <f aca="false">WEEKDAY(A103,2)</f>
        <v>1</v>
      </c>
      <c r="C103" s="10" t="str">
        <f aca="false">INDEX(Days!$B$2:$B$8,B103)</f>
        <v>Mon</v>
      </c>
      <c r="D103" s="10" t="n">
        <f aca="false">INT((A103-$A$5)/7)+1</f>
        <v>15</v>
      </c>
      <c r="E103" s="10" t="n">
        <v>1667</v>
      </c>
    </row>
    <row r="104" customFormat="false" ht="15" hidden="false" customHeight="false" outlineLevel="0" collapsed="false">
      <c r="A104" s="9" t="n">
        <v>46182</v>
      </c>
      <c r="B104" s="10" t="n">
        <f aca="false">WEEKDAY(A104,2)</f>
        <v>2</v>
      </c>
      <c r="C104" s="10" t="str">
        <f aca="false">INDEX(Days!$B$2:$B$8,B104)</f>
        <v>Tue</v>
      </c>
      <c r="D104" s="10" t="n">
        <f aca="false">INT((A104-$A$5)/7)+1</f>
        <v>15</v>
      </c>
      <c r="E104" s="10" t="n">
        <v>1438</v>
      </c>
    </row>
    <row r="105" customFormat="false" ht="15" hidden="false" customHeight="false" outlineLevel="0" collapsed="false">
      <c r="A105" s="9" t="n">
        <v>46183</v>
      </c>
      <c r="B105" s="10" t="n">
        <f aca="false">WEEKDAY(A105,2)</f>
        <v>3</v>
      </c>
      <c r="C105" s="10" t="str">
        <f aca="false">INDEX(Days!$B$2:$B$8,B105)</f>
        <v>Wed</v>
      </c>
      <c r="D105" s="10" t="n">
        <f aca="false">INT((A105-$A$5)/7)+1</f>
        <v>15</v>
      </c>
      <c r="E105" s="10" t="n">
        <v>1354</v>
      </c>
    </row>
    <row r="106" customFormat="false" ht="15" hidden="false" customHeight="false" outlineLevel="0" collapsed="false">
      <c r="A106" s="9" t="n">
        <v>46184</v>
      </c>
      <c r="B106" s="10" t="n">
        <f aca="false">WEEKDAY(A106,2)</f>
        <v>4</v>
      </c>
      <c r="C106" s="10" t="str">
        <f aca="false">INDEX(Days!$B$2:$B$8,B106)</f>
        <v>Thu</v>
      </c>
      <c r="D106" s="10" t="n">
        <f aca="false">INT((A106-$A$5)/7)+1</f>
        <v>15</v>
      </c>
      <c r="E106" s="10" t="n">
        <v>1284</v>
      </c>
    </row>
    <row r="107" customFormat="false" ht="15" hidden="false" customHeight="false" outlineLevel="0" collapsed="false">
      <c r="A107" s="9" t="n">
        <v>46185</v>
      </c>
      <c r="B107" s="10" t="n">
        <f aca="false">WEEKDAY(A107,2)</f>
        <v>5</v>
      </c>
      <c r="C107" s="10" t="str">
        <f aca="false">INDEX(Days!$B$2:$B$8,B107)</f>
        <v>Fri</v>
      </c>
      <c r="D107" s="10" t="n">
        <f aca="false">INT((A107-$A$5)/7)+1</f>
        <v>15</v>
      </c>
      <c r="E107" s="10" t="n">
        <v>1222</v>
      </c>
    </row>
    <row r="108" customFormat="false" ht="15" hidden="false" customHeight="false" outlineLevel="0" collapsed="false">
      <c r="A108" s="9" t="n">
        <v>46186</v>
      </c>
      <c r="B108" s="10" t="n">
        <f aca="false">WEEKDAY(A108,2)</f>
        <v>6</v>
      </c>
      <c r="C108" s="10" t="str">
        <f aca="false">INDEX(Days!$B$2:$B$8,B108)</f>
        <v>Sat</v>
      </c>
      <c r="D108" s="10" t="n">
        <f aca="false">INT((A108-$A$5)/7)+1</f>
        <v>15</v>
      </c>
      <c r="E108" s="10" t="n">
        <v>1002</v>
      </c>
    </row>
    <row r="109" customFormat="false" ht="15" hidden="false" customHeight="false" outlineLevel="0" collapsed="false">
      <c r="A109" s="9" t="n">
        <v>46187</v>
      </c>
      <c r="B109" s="10" t="n">
        <f aca="false">WEEKDAY(A109,2)</f>
        <v>7</v>
      </c>
      <c r="C109" s="10" t="str">
        <f aca="false">INDEX(Days!$B$2:$B$8,B109)</f>
        <v>Sun</v>
      </c>
      <c r="D109" s="10" t="n">
        <f aca="false">INT((A109-$A$5)/7)+1</f>
        <v>15</v>
      </c>
      <c r="E109" s="10" t="n">
        <v>972</v>
      </c>
    </row>
    <row r="110" customFormat="false" ht="15" hidden="false" customHeight="false" outlineLevel="0" collapsed="false">
      <c r="A110" s="9" t="n">
        <v>46188</v>
      </c>
      <c r="B110" s="10" t="n">
        <f aca="false">WEEKDAY(A110,2)</f>
        <v>1</v>
      </c>
      <c r="C110" s="10" t="str">
        <f aca="false">INDEX(Days!$B$2:$B$8,B110)</f>
        <v>Mon</v>
      </c>
      <c r="D110" s="10" t="n">
        <f aca="false">INT((A110-$A$5)/7)+1</f>
        <v>16</v>
      </c>
      <c r="E110" s="10" t="n">
        <v>1586</v>
      </c>
    </row>
    <row r="111" customFormat="false" ht="15" hidden="false" customHeight="false" outlineLevel="0" collapsed="false">
      <c r="A111" s="9" t="n">
        <v>46189</v>
      </c>
      <c r="B111" s="10" t="n">
        <f aca="false">WEEKDAY(A111,2)</f>
        <v>2</v>
      </c>
      <c r="C111" s="10" t="str">
        <f aca="false">INDEX(Days!$B$2:$B$8,B111)</f>
        <v>Tue</v>
      </c>
      <c r="D111" s="10" t="n">
        <f aca="false">INT((A111-$A$5)/7)+1</f>
        <v>16</v>
      </c>
      <c r="E111" s="10" t="n">
        <v>1428</v>
      </c>
    </row>
    <row r="112" customFormat="false" ht="15" hidden="false" customHeight="false" outlineLevel="0" collapsed="false">
      <c r="A112" s="9" t="n">
        <v>46190</v>
      </c>
      <c r="B112" s="10" t="n">
        <f aca="false">WEEKDAY(A112,2)</f>
        <v>3</v>
      </c>
      <c r="C112" s="10" t="str">
        <f aca="false">INDEX(Days!$B$2:$B$8,B112)</f>
        <v>Wed</v>
      </c>
      <c r="D112" s="10" t="n">
        <f aca="false">INT((A112-$A$5)/7)+1</f>
        <v>16</v>
      </c>
      <c r="E112" s="10" t="n">
        <v>1388</v>
      </c>
    </row>
    <row r="113" customFormat="false" ht="15" hidden="false" customHeight="false" outlineLevel="0" collapsed="false">
      <c r="A113" s="9" t="n">
        <v>46191</v>
      </c>
      <c r="B113" s="10" t="n">
        <f aca="false">WEEKDAY(A113,2)</f>
        <v>4</v>
      </c>
      <c r="C113" s="10" t="str">
        <f aca="false">INDEX(Days!$B$2:$B$8,B113)</f>
        <v>Thu</v>
      </c>
      <c r="D113" s="10" t="n">
        <f aca="false">INT((A113-$A$5)/7)+1</f>
        <v>16</v>
      </c>
      <c r="E113" s="10" t="n">
        <v>1305</v>
      </c>
    </row>
    <row r="114" customFormat="false" ht="15" hidden="false" customHeight="false" outlineLevel="0" collapsed="false">
      <c r="A114" s="9" t="n">
        <v>46192</v>
      </c>
      <c r="B114" s="10" t="n">
        <f aca="false">WEEKDAY(A114,2)</f>
        <v>5</v>
      </c>
      <c r="C114" s="10" t="str">
        <f aca="false">INDEX(Days!$B$2:$B$8,B114)</f>
        <v>Fri</v>
      </c>
      <c r="D114" s="10" t="n">
        <f aca="false">INT((A114-$A$5)/7)+1</f>
        <v>16</v>
      </c>
      <c r="E114" s="10" t="n">
        <v>1261</v>
      </c>
    </row>
    <row r="115" customFormat="false" ht="15" hidden="false" customHeight="false" outlineLevel="0" collapsed="false">
      <c r="A115" s="9" t="n">
        <v>46193</v>
      </c>
      <c r="B115" s="10" t="n">
        <f aca="false">WEEKDAY(A115,2)</f>
        <v>6</v>
      </c>
      <c r="C115" s="10" t="str">
        <f aca="false">INDEX(Days!$B$2:$B$8,B115)</f>
        <v>Sat</v>
      </c>
      <c r="D115" s="10" t="n">
        <f aca="false">INT((A115-$A$5)/7)+1</f>
        <v>16</v>
      </c>
      <c r="E115" s="10" t="n">
        <v>1045</v>
      </c>
    </row>
    <row r="116" customFormat="false" ht="15" hidden="false" customHeight="false" outlineLevel="0" collapsed="false">
      <c r="A116" s="9" t="n">
        <v>46194</v>
      </c>
      <c r="B116" s="10" t="n">
        <f aca="false">WEEKDAY(A116,2)</f>
        <v>7</v>
      </c>
      <c r="C116" s="10" t="str">
        <f aca="false">INDEX(Days!$B$2:$B$8,B116)</f>
        <v>Sun</v>
      </c>
      <c r="D116" s="10" t="n">
        <f aca="false">INT((A116-$A$5)/7)+1</f>
        <v>16</v>
      </c>
      <c r="E116" s="10" t="n">
        <v>985</v>
      </c>
    </row>
    <row r="117" customFormat="false" ht="15" hidden="false" customHeight="false" outlineLevel="0" collapsed="false">
      <c r="A117" s="9" t="n">
        <v>46195</v>
      </c>
      <c r="B117" s="10" t="n">
        <f aca="false">WEEKDAY(A117,2)</f>
        <v>1</v>
      </c>
      <c r="C117" s="10" t="str">
        <f aca="false">INDEX(Days!$B$2:$B$8,B117)</f>
        <v>Mon</v>
      </c>
      <c r="D117" s="10" t="n">
        <f aca="false">INT((A117-$A$5)/7)+1</f>
        <v>17</v>
      </c>
      <c r="E117" s="10" t="n">
        <v>1627</v>
      </c>
    </row>
    <row r="118" customFormat="false" ht="15" hidden="false" customHeight="false" outlineLevel="0" collapsed="false">
      <c r="A118" s="9" t="n">
        <v>46196</v>
      </c>
      <c r="B118" s="10" t="n">
        <f aca="false">WEEKDAY(A118,2)</f>
        <v>2</v>
      </c>
      <c r="C118" s="10" t="str">
        <f aca="false">INDEX(Days!$B$2:$B$8,B118)</f>
        <v>Tue</v>
      </c>
      <c r="D118" s="10" t="n">
        <f aca="false">INT((A118-$A$5)/7)+1</f>
        <v>17</v>
      </c>
      <c r="E118" s="10" t="n">
        <v>1509</v>
      </c>
    </row>
    <row r="119" customFormat="false" ht="15" hidden="false" customHeight="false" outlineLevel="0" collapsed="false">
      <c r="A119" s="9" t="n">
        <v>46197</v>
      </c>
      <c r="B119" s="10" t="n">
        <f aca="false">WEEKDAY(A119,2)</f>
        <v>3</v>
      </c>
      <c r="C119" s="10" t="str">
        <f aca="false">INDEX(Days!$B$2:$B$8,B119)</f>
        <v>Wed</v>
      </c>
      <c r="D119" s="10" t="n">
        <f aca="false">INT((A119-$A$5)/7)+1</f>
        <v>17</v>
      </c>
      <c r="E119" s="10" t="n">
        <v>1423</v>
      </c>
    </row>
    <row r="120" customFormat="false" ht="15" hidden="false" customHeight="false" outlineLevel="0" collapsed="false">
      <c r="A120" s="9" t="n">
        <v>46198</v>
      </c>
      <c r="B120" s="10" t="n">
        <f aca="false">WEEKDAY(A120,2)</f>
        <v>4</v>
      </c>
      <c r="C120" s="10" t="str">
        <f aca="false">INDEX(Days!$B$2:$B$8,B120)</f>
        <v>Thu</v>
      </c>
      <c r="D120" s="10" t="n">
        <f aca="false">INT((A120-$A$5)/7)+1</f>
        <v>17</v>
      </c>
      <c r="E120" s="10" t="n">
        <v>1278</v>
      </c>
    </row>
    <row r="121" customFormat="false" ht="15" hidden="false" customHeight="false" outlineLevel="0" collapsed="false">
      <c r="A121" s="9" t="n">
        <v>46199</v>
      </c>
      <c r="B121" s="10" t="n">
        <f aca="false">WEEKDAY(A121,2)</f>
        <v>5</v>
      </c>
      <c r="C121" s="10" t="str">
        <f aca="false">INDEX(Days!$B$2:$B$8,B121)</f>
        <v>Fri</v>
      </c>
      <c r="D121" s="10" t="n">
        <f aca="false">INT((A121-$A$5)/7)+1</f>
        <v>17</v>
      </c>
      <c r="E121" s="10" t="n">
        <v>1301</v>
      </c>
    </row>
    <row r="122" customFormat="false" ht="15" hidden="false" customHeight="false" outlineLevel="0" collapsed="false">
      <c r="A122" s="9" t="n">
        <v>46200</v>
      </c>
      <c r="B122" s="10" t="n">
        <f aca="false">WEEKDAY(A122,2)</f>
        <v>6</v>
      </c>
      <c r="C122" s="10" t="str">
        <f aca="false">INDEX(Days!$B$2:$B$8,B122)</f>
        <v>Sat</v>
      </c>
      <c r="D122" s="10" t="n">
        <f aca="false">INT((A122-$A$5)/7)+1</f>
        <v>17</v>
      </c>
      <c r="E122" s="10" t="n">
        <v>1036</v>
      </c>
    </row>
    <row r="123" customFormat="false" ht="15" hidden="false" customHeight="false" outlineLevel="0" collapsed="false">
      <c r="A123" s="9" t="n">
        <v>46201</v>
      </c>
      <c r="B123" s="10" t="n">
        <f aca="false">WEEKDAY(A123,2)</f>
        <v>7</v>
      </c>
      <c r="C123" s="10" t="str">
        <f aca="false">INDEX(Days!$B$2:$B$8,B123)</f>
        <v>Sun</v>
      </c>
      <c r="D123" s="10" t="n">
        <f aca="false">INT((A123-$A$5)/7)+1</f>
        <v>17</v>
      </c>
      <c r="E123" s="10" t="n">
        <v>1004</v>
      </c>
    </row>
    <row r="124" customFormat="false" ht="15" hidden="false" customHeight="false" outlineLevel="0" collapsed="false">
      <c r="A124" s="9" t="n">
        <v>46202</v>
      </c>
      <c r="B124" s="10" t="n">
        <f aca="false">WEEKDAY(A124,2)</f>
        <v>1</v>
      </c>
      <c r="C124" s="10" t="str">
        <f aca="false">INDEX(Days!$B$2:$B$8,B124)</f>
        <v>Mon</v>
      </c>
      <c r="D124" s="10" t="n">
        <f aca="false">INT((A124-$A$5)/7)+1</f>
        <v>18</v>
      </c>
      <c r="E124" s="10" t="n">
        <v>1672</v>
      </c>
    </row>
    <row r="125" customFormat="false" ht="15" hidden="false" customHeight="false" outlineLevel="0" collapsed="false">
      <c r="A125" s="9" t="n">
        <v>46203</v>
      </c>
      <c r="B125" s="10" t="n">
        <f aca="false">WEEKDAY(A125,2)</f>
        <v>2</v>
      </c>
      <c r="C125" s="10" t="str">
        <f aca="false">INDEX(Days!$B$2:$B$8,B125)</f>
        <v>Tue</v>
      </c>
      <c r="D125" s="10" t="n">
        <f aca="false">INT((A125-$A$5)/7)+1</f>
        <v>18</v>
      </c>
      <c r="E125" s="10" t="n">
        <v>1489</v>
      </c>
    </row>
    <row r="126" customFormat="false" ht="15" hidden="false" customHeight="false" outlineLevel="0" collapsed="false">
      <c r="A126" s="9" t="n">
        <v>46204</v>
      </c>
      <c r="B126" s="10" t="n">
        <f aca="false">WEEKDAY(A126,2)</f>
        <v>3</v>
      </c>
      <c r="C126" s="10" t="str">
        <f aca="false">INDEX(Days!$B$2:$B$8,B126)</f>
        <v>Wed</v>
      </c>
      <c r="D126" s="10" t="n">
        <f aca="false">INT((A126-$A$5)/7)+1</f>
        <v>18</v>
      </c>
      <c r="E126" s="10" t="n">
        <v>1399</v>
      </c>
    </row>
    <row r="127" customFormat="false" ht="15" hidden="false" customHeight="false" outlineLevel="0" collapsed="false">
      <c r="A127" s="9" t="n">
        <v>46205</v>
      </c>
      <c r="B127" s="10" t="n">
        <f aca="false">WEEKDAY(A127,2)</f>
        <v>4</v>
      </c>
      <c r="C127" s="10" t="str">
        <f aca="false">INDEX(Days!$B$2:$B$8,B127)</f>
        <v>Thu</v>
      </c>
      <c r="D127" s="10" t="n">
        <f aca="false">INT((A127-$A$5)/7)+1</f>
        <v>18</v>
      </c>
      <c r="E127" s="10" t="n">
        <v>1290</v>
      </c>
    </row>
    <row r="128" customFormat="false" ht="15" hidden="false" customHeight="false" outlineLevel="0" collapsed="false">
      <c r="A128" s="9" t="n">
        <v>46206</v>
      </c>
      <c r="B128" s="10" t="n">
        <f aca="false">WEEKDAY(A128,2)</f>
        <v>5</v>
      </c>
      <c r="C128" s="10" t="str">
        <f aca="false">INDEX(Days!$B$2:$B$8,B128)</f>
        <v>Fri</v>
      </c>
      <c r="D128" s="10" t="n">
        <f aca="false">INT((A128-$A$5)/7)+1</f>
        <v>18</v>
      </c>
      <c r="E128" s="10" t="n">
        <v>1281</v>
      </c>
    </row>
    <row r="129" customFormat="false" ht="15" hidden="false" customHeight="false" outlineLevel="0" collapsed="false">
      <c r="A129" s="9" t="n">
        <v>46207</v>
      </c>
      <c r="B129" s="10" t="n">
        <f aca="false">WEEKDAY(A129,2)</f>
        <v>6</v>
      </c>
      <c r="C129" s="10" t="str">
        <f aca="false">INDEX(Days!$B$2:$B$8,B129)</f>
        <v>Sat</v>
      </c>
      <c r="D129" s="10" t="n">
        <f aca="false">INT((A129-$A$5)/7)+1</f>
        <v>18</v>
      </c>
      <c r="E129" s="10" t="n">
        <v>983</v>
      </c>
    </row>
    <row r="130" customFormat="false" ht="15" hidden="false" customHeight="false" outlineLevel="0" collapsed="false">
      <c r="A130" s="9" t="n">
        <v>46208</v>
      </c>
      <c r="B130" s="10" t="n">
        <f aca="false">WEEKDAY(A130,2)</f>
        <v>7</v>
      </c>
      <c r="C130" s="10" t="str">
        <f aca="false">INDEX(Days!$B$2:$B$8,B130)</f>
        <v>Sun</v>
      </c>
      <c r="D130" s="10" t="n">
        <f aca="false">INT((A130-$A$5)/7)+1</f>
        <v>18</v>
      </c>
      <c r="E130" s="10" t="n">
        <v>946</v>
      </c>
    </row>
    <row r="131" customFormat="false" ht="15" hidden="false" customHeight="false" outlineLevel="0" collapsed="false">
      <c r="A131" s="9" t="n">
        <v>46209</v>
      </c>
      <c r="B131" s="10" t="n">
        <f aca="false">WEEKDAY(A131,2)</f>
        <v>1</v>
      </c>
      <c r="C131" s="10" t="str">
        <f aca="false">INDEX(Days!$B$2:$B$8,B131)</f>
        <v>Mon</v>
      </c>
      <c r="D131" s="10" t="n">
        <f aca="false">INT((A131-$A$5)/7)+1</f>
        <v>19</v>
      </c>
      <c r="E131" s="10" t="n">
        <v>1603</v>
      </c>
    </row>
    <row r="132" customFormat="false" ht="15" hidden="false" customHeight="false" outlineLevel="0" collapsed="false">
      <c r="A132" s="9" t="n">
        <v>46210</v>
      </c>
      <c r="B132" s="10" t="n">
        <f aca="false">WEEKDAY(A132,2)</f>
        <v>2</v>
      </c>
      <c r="C132" s="10" t="str">
        <f aca="false">INDEX(Days!$B$2:$B$8,B132)</f>
        <v>Tue</v>
      </c>
      <c r="D132" s="10" t="n">
        <f aca="false">INT((A132-$A$5)/7)+1</f>
        <v>19</v>
      </c>
      <c r="E132" s="10" t="n">
        <v>1469</v>
      </c>
    </row>
    <row r="133" customFormat="false" ht="15" hidden="false" customHeight="false" outlineLevel="0" collapsed="false">
      <c r="A133" s="9" t="n">
        <v>46211</v>
      </c>
      <c r="B133" s="10" t="n">
        <f aca="false">WEEKDAY(A133,2)</f>
        <v>3</v>
      </c>
      <c r="C133" s="10" t="str">
        <f aca="false">INDEX(Days!$B$2:$B$8,B133)</f>
        <v>Wed</v>
      </c>
      <c r="D133" s="10" t="n">
        <f aca="false">INT((A133-$A$5)/7)+1</f>
        <v>19</v>
      </c>
      <c r="E133" s="10" t="n">
        <v>1400</v>
      </c>
    </row>
    <row r="134" customFormat="false" ht="15" hidden="false" customHeight="false" outlineLevel="0" collapsed="false">
      <c r="A134" s="9" t="n">
        <v>46212</v>
      </c>
      <c r="B134" s="10" t="n">
        <f aca="false">WEEKDAY(A134,2)</f>
        <v>4</v>
      </c>
      <c r="C134" s="10" t="str">
        <f aca="false">INDEX(Days!$B$2:$B$8,B134)</f>
        <v>Thu</v>
      </c>
      <c r="D134" s="10" t="n">
        <f aca="false">INT((A134-$A$5)/7)+1</f>
        <v>19</v>
      </c>
      <c r="E134" s="10" t="n">
        <v>1291</v>
      </c>
    </row>
    <row r="135" customFormat="false" ht="15" hidden="false" customHeight="false" outlineLevel="0" collapsed="false">
      <c r="A135" s="9" t="n">
        <v>46213</v>
      </c>
      <c r="B135" s="10" t="n">
        <f aca="false">WEEKDAY(A135,2)</f>
        <v>5</v>
      </c>
      <c r="C135" s="10" t="str">
        <f aca="false">INDEX(Days!$B$2:$B$8,B135)</f>
        <v>Fri</v>
      </c>
      <c r="D135" s="10" t="n">
        <f aca="false">INT((A135-$A$5)/7)+1</f>
        <v>19</v>
      </c>
      <c r="E135" s="10" t="n">
        <v>1222</v>
      </c>
    </row>
    <row r="136" customFormat="false" ht="15" hidden="false" customHeight="false" outlineLevel="0" collapsed="false">
      <c r="A136" s="9" t="n">
        <v>46214</v>
      </c>
      <c r="B136" s="10" t="n">
        <f aca="false">WEEKDAY(A136,2)</f>
        <v>6</v>
      </c>
      <c r="C136" s="10" t="str">
        <f aca="false">INDEX(Days!$B$2:$B$8,B136)</f>
        <v>Sat</v>
      </c>
      <c r="D136" s="10" t="n">
        <f aca="false">INT((A136-$A$5)/7)+1</f>
        <v>19</v>
      </c>
      <c r="E136" s="10" t="n">
        <v>995</v>
      </c>
    </row>
    <row r="137" customFormat="false" ht="15" hidden="false" customHeight="false" outlineLevel="0" collapsed="false">
      <c r="A137" s="9" t="n">
        <v>46215</v>
      </c>
      <c r="B137" s="10" t="n">
        <f aca="false">WEEKDAY(A137,2)</f>
        <v>7</v>
      </c>
      <c r="C137" s="10" t="str">
        <f aca="false">INDEX(Days!$B$2:$B$8,B137)</f>
        <v>Sun</v>
      </c>
      <c r="D137" s="10" t="n">
        <f aca="false">INT((A137-$A$5)/7)+1</f>
        <v>19</v>
      </c>
      <c r="E137" s="10" t="n">
        <v>953</v>
      </c>
    </row>
    <row r="138" customFormat="false" ht="15" hidden="false" customHeight="false" outlineLevel="0" collapsed="false">
      <c r="A138" s="9" t="n">
        <v>46216</v>
      </c>
      <c r="B138" s="10" t="n">
        <f aca="false">WEEKDAY(A138,2)</f>
        <v>1</v>
      </c>
      <c r="C138" s="10" t="str">
        <f aca="false">INDEX(Days!$B$2:$B$8,B138)</f>
        <v>Mon</v>
      </c>
      <c r="D138" s="10" t="n">
        <f aca="false">INT((A138-$A$5)/7)+1</f>
        <v>20</v>
      </c>
      <c r="E138" s="10" t="n">
        <v>1631</v>
      </c>
    </row>
    <row r="139" customFormat="false" ht="15" hidden="false" customHeight="false" outlineLevel="0" collapsed="false">
      <c r="A139" s="9" t="n">
        <v>46217</v>
      </c>
      <c r="B139" s="10" t="n">
        <f aca="false">WEEKDAY(A139,2)</f>
        <v>2</v>
      </c>
      <c r="C139" s="10" t="str">
        <f aca="false">INDEX(Days!$B$2:$B$8,B139)</f>
        <v>Tue</v>
      </c>
      <c r="D139" s="10" t="n">
        <f aca="false">INT((A139-$A$5)/7)+1</f>
        <v>20</v>
      </c>
      <c r="E139" s="10" t="n">
        <v>1460</v>
      </c>
    </row>
    <row r="140" customFormat="false" ht="15" hidden="false" customHeight="false" outlineLevel="0" collapsed="false">
      <c r="A140" s="9" t="n">
        <v>46218</v>
      </c>
      <c r="B140" s="10" t="n">
        <f aca="false">WEEKDAY(A140,2)</f>
        <v>3</v>
      </c>
      <c r="C140" s="10" t="str">
        <f aca="false">INDEX(Days!$B$2:$B$8,B140)</f>
        <v>Wed</v>
      </c>
      <c r="D140" s="10" t="n">
        <f aca="false">INT((A140-$A$5)/7)+1</f>
        <v>20</v>
      </c>
      <c r="E140" s="10" t="n">
        <v>1467</v>
      </c>
    </row>
    <row r="141" customFormat="false" ht="15" hidden="false" customHeight="false" outlineLevel="0" collapsed="false">
      <c r="A141" s="9" t="n">
        <v>46219</v>
      </c>
      <c r="B141" s="10" t="n">
        <f aca="false">WEEKDAY(A141,2)</f>
        <v>4</v>
      </c>
      <c r="C141" s="10" t="str">
        <f aca="false">INDEX(Days!$B$2:$B$8,B141)</f>
        <v>Thu</v>
      </c>
      <c r="D141" s="10" t="n">
        <f aca="false">INT((A141-$A$5)/7)+1</f>
        <v>20</v>
      </c>
      <c r="E141" s="10" t="n">
        <v>1358</v>
      </c>
    </row>
    <row r="142" customFormat="false" ht="15" hidden="false" customHeight="false" outlineLevel="0" collapsed="false">
      <c r="A142" s="9" t="n">
        <v>46220</v>
      </c>
      <c r="B142" s="10" t="n">
        <f aca="false">WEEKDAY(A142,2)</f>
        <v>5</v>
      </c>
      <c r="C142" s="10" t="str">
        <f aca="false">INDEX(Days!$B$2:$B$8,B142)</f>
        <v>Fri</v>
      </c>
      <c r="D142" s="10" t="n">
        <f aca="false">INT((A142-$A$5)/7)+1</f>
        <v>20</v>
      </c>
      <c r="E142" s="10" t="n">
        <v>1244</v>
      </c>
    </row>
    <row r="143" customFormat="false" ht="15" hidden="false" customHeight="false" outlineLevel="0" collapsed="false">
      <c r="A143" s="9" t="n">
        <v>46221</v>
      </c>
      <c r="B143" s="10" t="n">
        <f aca="false">WEEKDAY(A143,2)</f>
        <v>6</v>
      </c>
      <c r="C143" s="10" t="str">
        <f aca="false">INDEX(Days!$B$2:$B$8,B143)</f>
        <v>Sat</v>
      </c>
      <c r="D143" s="10" t="n">
        <f aca="false">INT((A143-$A$5)/7)+1</f>
        <v>20</v>
      </c>
      <c r="E143" s="10" t="n">
        <v>1009</v>
      </c>
    </row>
    <row r="144" customFormat="false" ht="15" hidden="false" customHeight="false" outlineLevel="0" collapsed="false">
      <c r="A144" s="9" t="n">
        <v>46222</v>
      </c>
      <c r="B144" s="10" t="n">
        <f aca="false">WEEKDAY(A144,2)</f>
        <v>7</v>
      </c>
      <c r="C144" s="10" t="str">
        <f aca="false">INDEX(Days!$B$2:$B$8,B144)</f>
        <v>Sun</v>
      </c>
      <c r="D144" s="10" t="n">
        <f aca="false">INT((A144-$A$5)/7)+1</f>
        <v>20</v>
      </c>
      <c r="E144" s="10" t="n">
        <v>977</v>
      </c>
    </row>
    <row r="145" customFormat="false" ht="15" hidden="false" customHeight="false" outlineLevel="0" collapsed="false">
      <c r="A145" s="9" t="n">
        <v>46223</v>
      </c>
      <c r="B145" s="10" t="n">
        <f aca="false">WEEKDAY(A145,2)</f>
        <v>1</v>
      </c>
      <c r="C145" s="10" t="str">
        <f aca="false">INDEX(Days!$B$2:$B$8,B145)</f>
        <v>Mon</v>
      </c>
      <c r="D145" s="10" t="n">
        <f aca="false">INT((A145-$A$5)/7)+1</f>
        <v>21</v>
      </c>
      <c r="E145" s="10" t="n">
        <v>1639</v>
      </c>
    </row>
    <row r="146" customFormat="false" ht="15" hidden="false" customHeight="false" outlineLevel="0" collapsed="false">
      <c r="A146" s="9" t="n">
        <v>46224</v>
      </c>
      <c r="B146" s="10" t="n">
        <f aca="false">WEEKDAY(A146,2)</f>
        <v>2</v>
      </c>
      <c r="C146" s="10" t="str">
        <f aca="false">INDEX(Days!$B$2:$B$8,B146)</f>
        <v>Tue</v>
      </c>
      <c r="D146" s="10" t="n">
        <f aca="false">INT((A146-$A$5)/7)+1</f>
        <v>21</v>
      </c>
      <c r="E146" s="10" t="n">
        <v>1479</v>
      </c>
    </row>
    <row r="147" customFormat="false" ht="15" hidden="false" customHeight="false" outlineLevel="0" collapsed="false">
      <c r="A147" s="9" t="n">
        <v>46225</v>
      </c>
      <c r="B147" s="10" t="n">
        <f aca="false">WEEKDAY(A147,2)</f>
        <v>3</v>
      </c>
      <c r="C147" s="10" t="str">
        <f aca="false">INDEX(Days!$B$2:$B$8,B147)</f>
        <v>Wed</v>
      </c>
      <c r="D147" s="10" t="n">
        <f aca="false">INT((A147-$A$5)/7)+1</f>
        <v>21</v>
      </c>
      <c r="E147" s="10" t="n">
        <v>1472</v>
      </c>
    </row>
    <row r="148" customFormat="false" ht="15" hidden="false" customHeight="false" outlineLevel="0" collapsed="false">
      <c r="A148" s="9" t="n">
        <v>46226</v>
      </c>
      <c r="B148" s="10" t="n">
        <f aca="false">WEEKDAY(A148,2)</f>
        <v>4</v>
      </c>
      <c r="C148" s="10" t="str">
        <f aca="false">INDEX(Days!$B$2:$B$8,B148)</f>
        <v>Thu</v>
      </c>
      <c r="D148" s="10" t="n">
        <f aca="false">INT((A148-$A$5)/7)+1</f>
        <v>21</v>
      </c>
      <c r="E148" s="10" t="n">
        <v>1406</v>
      </c>
    </row>
    <row r="149" customFormat="false" ht="15" hidden="false" customHeight="false" outlineLevel="0" collapsed="false">
      <c r="A149" s="9" t="n">
        <v>46227</v>
      </c>
      <c r="B149" s="10" t="n">
        <f aca="false">WEEKDAY(A149,2)</f>
        <v>5</v>
      </c>
      <c r="C149" s="10" t="str">
        <f aca="false">INDEX(Days!$B$2:$B$8,B149)</f>
        <v>Fri</v>
      </c>
      <c r="D149" s="10" t="n">
        <f aca="false">INT((A149-$A$5)/7)+1</f>
        <v>21</v>
      </c>
      <c r="E149" s="10" t="n">
        <v>1283</v>
      </c>
    </row>
    <row r="150" customFormat="false" ht="15" hidden="false" customHeight="false" outlineLevel="0" collapsed="false">
      <c r="A150" s="9" t="n">
        <v>46228</v>
      </c>
      <c r="B150" s="10" t="n">
        <f aca="false">WEEKDAY(A150,2)</f>
        <v>6</v>
      </c>
      <c r="C150" s="10" t="str">
        <f aca="false">INDEX(Days!$B$2:$B$8,B150)</f>
        <v>Sat</v>
      </c>
      <c r="D150" s="10" t="n">
        <f aca="false">INT((A150-$A$5)/7)+1</f>
        <v>21</v>
      </c>
      <c r="E150" s="10" t="n">
        <v>1033</v>
      </c>
    </row>
    <row r="151" customFormat="false" ht="15" hidden="false" customHeight="false" outlineLevel="0" collapsed="false">
      <c r="A151" s="9" t="n">
        <v>46229</v>
      </c>
      <c r="B151" s="10" t="n">
        <f aca="false">WEEKDAY(A151,2)</f>
        <v>7</v>
      </c>
      <c r="C151" s="10" t="str">
        <f aca="false">INDEX(Days!$B$2:$B$8,B151)</f>
        <v>Sun</v>
      </c>
      <c r="D151" s="10" t="n">
        <f aca="false">INT((A151-$A$5)/7)+1</f>
        <v>21</v>
      </c>
      <c r="E151" s="10" t="n">
        <v>961</v>
      </c>
    </row>
    <row r="152" customFormat="false" ht="15" hidden="false" customHeight="false" outlineLevel="0" collapsed="false">
      <c r="A152" s="9" t="n">
        <v>46230</v>
      </c>
      <c r="B152" s="10" t="n">
        <f aca="false">WEEKDAY(A152,2)</f>
        <v>1</v>
      </c>
      <c r="C152" s="10" t="str">
        <f aca="false">INDEX(Days!$B$2:$B$8,B152)</f>
        <v>Mon</v>
      </c>
      <c r="D152" s="10" t="n">
        <f aca="false">INT((A152-$A$5)/7)+1</f>
        <v>22</v>
      </c>
      <c r="E152" s="10" t="n">
        <v>1613</v>
      </c>
    </row>
    <row r="153" customFormat="false" ht="15" hidden="false" customHeight="false" outlineLevel="0" collapsed="false">
      <c r="A153" s="9" t="n">
        <v>46231</v>
      </c>
      <c r="B153" s="10" t="n">
        <f aca="false">WEEKDAY(A153,2)</f>
        <v>2</v>
      </c>
      <c r="C153" s="10" t="str">
        <f aca="false">INDEX(Days!$B$2:$B$8,B153)</f>
        <v>Tue</v>
      </c>
      <c r="D153" s="10" t="n">
        <f aca="false">INT((A153-$A$5)/7)+1</f>
        <v>22</v>
      </c>
      <c r="E153" s="10" t="n">
        <v>1513</v>
      </c>
    </row>
    <row r="154" customFormat="false" ht="15" hidden="false" customHeight="false" outlineLevel="0" collapsed="false">
      <c r="A154" s="9" t="n">
        <v>46232</v>
      </c>
      <c r="B154" s="10" t="n">
        <f aca="false">WEEKDAY(A154,2)</f>
        <v>3</v>
      </c>
      <c r="C154" s="10" t="str">
        <f aca="false">INDEX(Days!$B$2:$B$8,B154)</f>
        <v>Wed</v>
      </c>
      <c r="D154" s="10" t="n">
        <f aca="false">INT((A154-$A$5)/7)+1</f>
        <v>22</v>
      </c>
      <c r="E154" s="10" t="n">
        <v>1412</v>
      </c>
    </row>
    <row r="155" customFormat="false" ht="15" hidden="false" customHeight="false" outlineLevel="0" collapsed="false">
      <c r="A155" s="9" t="n">
        <v>46233</v>
      </c>
      <c r="B155" s="10" t="n">
        <f aca="false">WEEKDAY(A155,2)</f>
        <v>4</v>
      </c>
      <c r="C155" s="10" t="str">
        <f aca="false">INDEX(Days!$B$2:$B$8,B155)</f>
        <v>Thu</v>
      </c>
      <c r="D155" s="10" t="n">
        <f aca="false">INT((A155-$A$5)/7)+1</f>
        <v>22</v>
      </c>
      <c r="E155" s="10" t="n">
        <v>1395</v>
      </c>
    </row>
    <row r="156" customFormat="false" ht="15" hidden="false" customHeight="false" outlineLevel="0" collapsed="false">
      <c r="A156" s="9" t="n">
        <v>46234</v>
      </c>
      <c r="B156" s="10" t="n">
        <f aca="false">WEEKDAY(A156,2)</f>
        <v>5</v>
      </c>
      <c r="C156" s="10" t="str">
        <f aca="false">INDEX(Days!$B$2:$B$8,B156)</f>
        <v>Fri</v>
      </c>
      <c r="D156" s="10" t="n">
        <f aca="false">INT((A156-$A$5)/7)+1</f>
        <v>22</v>
      </c>
      <c r="E156" s="10" t="n">
        <v>1258</v>
      </c>
    </row>
    <row r="157" customFormat="false" ht="15" hidden="false" customHeight="false" outlineLevel="0" collapsed="false">
      <c r="A157" s="9" t="n">
        <v>46235</v>
      </c>
      <c r="B157" s="10" t="n">
        <f aca="false">WEEKDAY(A157,2)</f>
        <v>6</v>
      </c>
      <c r="C157" s="10" t="str">
        <f aca="false">INDEX(Days!$B$2:$B$8,B157)</f>
        <v>Sat</v>
      </c>
      <c r="D157" s="10" t="n">
        <f aca="false">INT((A157-$A$5)/7)+1</f>
        <v>22</v>
      </c>
      <c r="E157" s="10" t="n">
        <v>1000</v>
      </c>
    </row>
    <row r="158" customFormat="false" ht="15" hidden="false" customHeight="false" outlineLevel="0" collapsed="false">
      <c r="A158" s="9" t="n">
        <v>46236</v>
      </c>
      <c r="B158" s="10" t="n">
        <f aca="false">WEEKDAY(A158,2)</f>
        <v>7</v>
      </c>
      <c r="C158" s="10" t="str">
        <f aca="false">INDEX(Days!$B$2:$B$8,B158)</f>
        <v>Sun</v>
      </c>
      <c r="D158" s="10" t="n">
        <f aca="false">INT((A158-$A$5)/7)+1</f>
        <v>22</v>
      </c>
      <c r="E158" s="10" t="n">
        <v>1035</v>
      </c>
    </row>
    <row r="159" customFormat="false" ht="15" hidden="false" customHeight="false" outlineLevel="0" collapsed="false">
      <c r="A159" s="9" t="n">
        <v>46237</v>
      </c>
      <c r="B159" s="10" t="n">
        <f aca="false">WEEKDAY(A159,2)</f>
        <v>1</v>
      </c>
      <c r="C159" s="10" t="str">
        <f aca="false">INDEX(Days!$B$2:$B$8,B159)</f>
        <v>Mon</v>
      </c>
      <c r="D159" s="10" t="n">
        <f aca="false">INT((A159-$A$5)/7)+1</f>
        <v>23</v>
      </c>
      <c r="E159" s="10" t="n">
        <v>1678</v>
      </c>
    </row>
    <row r="160" customFormat="false" ht="15" hidden="false" customHeight="false" outlineLevel="0" collapsed="false">
      <c r="A160" s="9" t="n">
        <v>46238</v>
      </c>
      <c r="B160" s="10" t="n">
        <f aca="false">WEEKDAY(A160,2)</f>
        <v>2</v>
      </c>
      <c r="C160" s="10" t="str">
        <f aca="false">INDEX(Days!$B$2:$B$8,B160)</f>
        <v>Tue</v>
      </c>
      <c r="D160" s="10" t="n">
        <f aca="false">INT((A160-$A$5)/7)+1</f>
        <v>23</v>
      </c>
      <c r="E160" s="10" t="n">
        <v>1497</v>
      </c>
    </row>
    <row r="161" customFormat="false" ht="15" hidden="false" customHeight="false" outlineLevel="0" collapsed="false">
      <c r="A161" s="9" t="n">
        <v>46239</v>
      </c>
      <c r="B161" s="10" t="n">
        <f aca="false">WEEKDAY(A161,2)</f>
        <v>3</v>
      </c>
      <c r="C161" s="10" t="str">
        <f aca="false">INDEX(Days!$B$2:$B$8,B161)</f>
        <v>Wed</v>
      </c>
      <c r="D161" s="10" t="n">
        <f aca="false">INT((A161-$A$5)/7)+1</f>
        <v>23</v>
      </c>
      <c r="E161" s="10" t="n">
        <v>1451</v>
      </c>
    </row>
    <row r="162" customFormat="false" ht="15" hidden="false" customHeight="false" outlineLevel="0" collapsed="false">
      <c r="A162" s="9" t="n">
        <v>46240</v>
      </c>
      <c r="B162" s="10" t="n">
        <f aca="false">WEEKDAY(A162,2)</f>
        <v>4</v>
      </c>
      <c r="C162" s="10" t="str">
        <f aca="false">INDEX(Days!$B$2:$B$8,B162)</f>
        <v>Thu</v>
      </c>
      <c r="D162" s="10" t="n">
        <f aca="false">INT((A162-$A$5)/7)+1</f>
        <v>23</v>
      </c>
      <c r="E162" s="10" t="n">
        <v>1314</v>
      </c>
    </row>
    <row r="163" customFormat="false" ht="15" hidden="false" customHeight="false" outlineLevel="0" collapsed="false">
      <c r="A163" s="9" t="n">
        <v>46241</v>
      </c>
      <c r="B163" s="10" t="n">
        <f aca="false">WEEKDAY(A163,2)</f>
        <v>5</v>
      </c>
      <c r="C163" s="10" t="str">
        <f aca="false">INDEX(Days!$B$2:$B$8,B163)</f>
        <v>Fri</v>
      </c>
      <c r="D163" s="10" t="n">
        <f aca="false">INT((A163-$A$5)/7)+1</f>
        <v>23</v>
      </c>
      <c r="E163" s="10" t="n">
        <v>1302</v>
      </c>
    </row>
    <row r="164" customFormat="false" ht="15" hidden="false" customHeight="false" outlineLevel="0" collapsed="false">
      <c r="A164" s="9" t="n">
        <v>46242</v>
      </c>
      <c r="B164" s="10" t="n">
        <f aca="false">WEEKDAY(A164,2)</f>
        <v>6</v>
      </c>
      <c r="C164" s="10" t="str">
        <f aca="false">INDEX(Days!$B$2:$B$8,B164)</f>
        <v>Sat</v>
      </c>
      <c r="D164" s="10" t="n">
        <f aca="false">INT((A164-$A$5)/7)+1</f>
        <v>23</v>
      </c>
      <c r="E164" s="10" t="n">
        <v>1085</v>
      </c>
    </row>
    <row r="165" customFormat="false" ht="15" hidden="false" customHeight="false" outlineLevel="0" collapsed="false">
      <c r="A165" s="9" t="n">
        <v>46243</v>
      </c>
      <c r="B165" s="10" t="n">
        <f aca="false">WEEKDAY(A165,2)</f>
        <v>7</v>
      </c>
      <c r="C165" s="10" t="str">
        <f aca="false">INDEX(Days!$B$2:$B$8,B165)</f>
        <v>Sun</v>
      </c>
      <c r="D165" s="10" t="n">
        <f aca="false">INT((A165-$A$5)/7)+1</f>
        <v>23</v>
      </c>
      <c r="E165" s="10" t="n">
        <v>1034</v>
      </c>
    </row>
    <row r="166" customFormat="false" ht="15" hidden="false" customHeight="false" outlineLevel="0" collapsed="false">
      <c r="A166" s="9" t="n">
        <v>46244</v>
      </c>
      <c r="B166" s="10" t="n">
        <f aca="false">WEEKDAY(A166,2)</f>
        <v>1</v>
      </c>
      <c r="C166" s="10" t="str">
        <f aca="false">INDEX(Days!$B$2:$B$8,B166)</f>
        <v>Mon</v>
      </c>
      <c r="D166" s="10" t="n">
        <f aca="false">INT((A166-$A$5)/7)+1</f>
        <v>24</v>
      </c>
      <c r="E166" s="10" t="n">
        <v>1709</v>
      </c>
    </row>
    <row r="167" customFormat="false" ht="15" hidden="false" customHeight="false" outlineLevel="0" collapsed="false">
      <c r="A167" s="9" t="n">
        <v>46245</v>
      </c>
      <c r="B167" s="10" t="n">
        <f aca="false">WEEKDAY(A167,2)</f>
        <v>2</v>
      </c>
      <c r="C167" s="10" t="str">
        <f aca="false">INDEX(Days!$B$2:$B$8,B167)</f>
        <v>Tue</v>
      </c>
      <c r="D167" s="10" t="n">
        <f aca="false">INT((A167-$A$5)/7)+1</f>
        <v>24</v>
      </c>
      <c r="E167" s="10" t="n">
        <v>1518</v>
      </c>
    </row>
    <row r="168" customFormat="false" ht="15" hidden="false" customHeight="false" outlineLevel="0" collapsed="false">
      <c r="A168" s="9" t="n">
        <v>46246</v>
      </c>
      <c r="B168" s="10" t="n">
        <f aca="false">WEEKDAY(A168,2)</f>
        <v>3</v>
      </c>
      <c r="C168" s="10" t="str">
        <f aca="false">INDEX(Days!$B$2:$B$8,B168)</f>
        <v>Wed</v>
      </c>
      <c r="D168" s="10" t="n">
        <f aca="false">INT((A168-$A$5)/7)+1</f>
        <v>24</v>
      </c>
      <c r="E168" s="10" t="n">
        <v>1438</v>
      </c>
    </row>
    <row r="169" customFormat="false" ht="15" hidden="false" customHeight="false" outlineLevel="0" collapsed="false">
      <c r="A169" s="9" t="n">
        <v>46247</v>
      </c>
      <c r="B169" s="10" t="n">
        <f aca="false">WEEKDAY(A169,2)</f>
        <v>4</v>
      </c>
      <c r="C169" s="10" t="str">
        <f aca="false">INDEX(Days!$B$2:$B$8,B169)</f>
        <v>Thu</v>
      </c>
      <c r="D169" s="10" t="n">
        <f aca="false">INT((A169-$A$5)/7)+1</f>
        <v>24</v>
      </c>
      <c r="E169" s="10" t="n">
        <v>1336</v>
      </c>
    </row>
    <row r="170" customFormat="false" ht="15" hidden="false" customHeight="false" outlineLevel="0" collapsed="false">
      <c r="A170" s="9" t="n">
        <v>46248</v>
      </c>
      <c r="B170" s="10" t="n">
        <f aca="false">WEEKDAY(A170,2)</f>
        <v>5</v>
      </c>
      <c r="C170" s="10" t="str">
        <f aca="false">INDEX(Days!$B$2:$B$8,B170)</f>
        <v>Fri</v>
      </c>
      <c r="D170" s="10" t="n">
        <f aca="false">INT((A170-$A$5)/7)+1</f>
        <v>24</v>
      </c>
      <c r="E170" s="10" t="n">
        <v>1334</v>
      </c>
    </row>
    <row r="171" customFormat="false" ht="15" hidden="false" customHeight="false" outlineLevel="0" collapsed="false">
      <c r="A171" s="9" t="n">
        <v>46249</v>
      </c>
      <c r="B171" s="10" t="n">
        <f aca="false">WEEKDAY(A171,2)</f>
        <v>6</v>
      </c>
      <c r="C171" s="10" t="str">
        <f aca="false">INDEX(Days!$B$2:$B$8,B171)</f>
        <v>Sat</v>
      </c>
      <c r="D171" s="10" t="n">
        <f aca="false">INT((A171-$A$5)/7)+1</f>
        <v>24</v>
      </c>
      <c r="E171" s="10" t="n">
        <v>1053</v>
      </c>
    </row>
    <row r="172" customFormat="false" ht="15" hidden="false" customHeight="false" outlineLevel="0" collapsed="false">
      <c r="A172" s="9" t="n">
        <v>46250</v>
      </c>
      <c r="B172" s="10" t="n">
        <f aca="false">WEEKDAY(A172,2)</f>
        <v>7</v>
      </c>
      <c r="C172" s="10" t="str">
        <f aca="false">INDEX(Days!$B$2:$B$8,B172)</f>
        <v>Sun</v>
      </c>
      <c r="D172" s="10" t="n">
        <f aca="false">INT((A172-$A$5)/7)+1</f>
        <v>24</v>
      </c>
      <c r="E172" s="10" t="n">
        <v>1032</v>
      </c>
    </row>
    <row r="173" customFormat="false" ht="15" hidden="false" customHeight="false" outlineLevel="0" collapsed="false">
      <c r="A173" s="9" t="n">
        <v>46251</v>
      </c>
      <c r="B173" s="10" t="n">
        <f aca="false">WEEKDAY(A173,2)</f>
        <v>1</v>
      </c>
      <c r="C173" s="10" t="str">
        <f aca="false">INDEX(Days!$B$2:$B$8,B173)</f>
        <v>Mon</v>
      </c>
      <c r="D173" s="10" t="n">
        <f aca="false">INT((A173-$A$5)/7)+1</f>
        <v>25</v>
      </c>
      <c r="E173" s="10" t="n">
        <v>1668</v>
      </c>
    </row>
    <row r="174" customFormat="false" ht="15" hidden="false" customHeight="false" outlineLevel="0" collapsed="false">
      <c r="A174" s="9" t="n">
        <v>46252</v>
      </c>
      <c r="B174" s="10" t="n">
        <f aca="false">WEEKDAY(A174,2)</f>
        <v>2</v>
      </c>
      <c r="C174" s="10" t="str">
        <f aca="false">INDEX(Days!$B$2:$B$8,B174)</f>
        <v>Tue</v>
      </c>
      <c r="D174" s="10" t="n">
        <f aca="false">INT((A174-$A$5)/7)+1</f>
        <v>25</v>
      </c>
      <c r="E174" s="10" t="n">
        <v>1521</v>
      </c>
    </row>
    <row r="175" customFormat="false" ht="15" hidden="false" customHeight="false" outlineLevel="0" collapsed="false">
      <c r="A175" s="9" t="n">
        <v>46253</v>
      </c>
      <c r="B175" s="10" t="n">
        <f aca="false">WEEKDAY(A175,2)</f>
        <v>3</v>
      </c>
      <c r="C175" s="10" t="str">
        <f aca="false">INDEX(Days!$B$2:$B$8,B175)</f>
        <v>Wed</v>
      </c>
      <c r="D175" s="10" t="n">
        <f aca="false">INT((A175-$A$5)/7)+1</f>
        <v>25</v>
      </c>
      <c r="E175" s="10" t="n">
        <v>1497</v>
      </c>
    </row>
    <row r="176" customFormat="false" ht="15" hidden="false" customHeight="false" outlineLevel="0" collapsed="false">
      <c r="A176" s="9" t="n">
        <v>46254</v>
      </c>
      <c r="B176" s="10" t="n">
        <f aca="false">WEEKDAY(A176,2)</f>
        <v>4</v>
      </c>
      <c r="C176" s="10" t="str">
        <f aca="false">INDEX(Days!$B$2:$B$8,B176)</f>
        <v>Thu</v>
      </c>
      <c r="D176" s="10" t="n">
        <f aca="false">INT((A176-$A$5)/7)+1</f>
        <v>25</v>
      </c>
      <c r="E176" s="10" t="n">
        <v>1433</v>
      </c>
    </row>
    <row r="177" customFormat="false" ht="15" hidden="false" customHeight="false" outlineLevel="0" collapsed="false">
      <c r="A177" s="9" t="n">
        <v>46255</v>
      </c>
      <c r="B177" s="10" t="n">
        <f aca="false">WEEKDAY(A177,2)</f>
        <v>5</v>
      </c>
      <c r="C177" s="10" t="str">
        <f aca="false">INDEX(Days!$B$2:$B$8,B177)</f>
        <v>Fri</v>
      </c>
      <c r="D177" s="10" t="n">
        <f aca="false">INT((A177-$A$5)/7)+1</f>
        <v>25</v>
      </c>
      <c r="E177" s="10" t="n">
        <v>1349</v>
      </c>
    </row>
    <row r="178" customFormat="false" ht="15" hidden="false" customHeight="false" outlineLevel="0" collapsed="false">
      <c r="A178" s="9" t="n">
        <v>46256</v>
      </c>
      <c r="B178" s="10" t="n">
        <f aca="false">WEEKDAY(A178,2)</f>
        <v>6</v>
      </c>
      <c r="C178" s="10" t="str">
        <f aca="false">INDEX(Days!$B$2:$B$8,B178)</f>
        <v>Sat</v>
      </c>
      <c r="D178" s="10" t="n">
        <f aca="false">INT((A178-$A$5)/7)+1</f>
        <v>25</v>
      </c>
      <c r="E178" s="10" t="n">
        <v>1081</v>
      </c>
    </row>
    <row r="179" customFormat="false" ht="15" hidden="false" customHeight="false" outlineLevel="0" collapsed="false">
      <c r="A179" s="9" t="n">
        <v>46257</v>
      </c>
      <c r="B179" s="10" t="n">
        <f aca="false">WEEKDAY(A179,2)</f>
        <v>7</v>
      </c>
      <c r="C179" s="10" t="str">
        <f aca="false">INDEX(Days!$B$2:$B$8,B179)</f>
        <v>Sun</v>
      </c>
      <c r="D179" s="10" t="n">
        <f aca="false">INT((A179-$A$5)/7)+1</f>
        <v>25</v>
      </c>
      <c r="E179" s="10" t="n">
        <v>1040</v>
      </c>
    </row>
    <row r="180" customFormat="false" ht="15" hidden="false" customHeight="false" outlineLevel="0" collapsed="false">
      <c r="A180" s="9" t="n">
        <v>46258</v>
      </c>
      <c r="B180" s="10" t="n">
        <f aca="false">WEEKDAY(A180,2)</f>
        <v>1</v>
      </c>
      <c r="C180" s="10" t="str">
        <f aca="false">INDEX(Days!$B$2:$B$8,B180)</f>
        <v>Mon</v>
      </c>
      <c r="D180" s="10" t="n">
        <f aca="false">INT((A180-$A$5)/7)+1</f>
        <v>26</v>
      </c>
      <c r="E180" s="10" t="n">
        <v>1732</v>
      </c>
    </row>
    <row r="181" customFormat="false" ht="15" hidden="false" customHeight="false" outlineLevel="0" collapsed="false">
      <c r="A181" s="9" t="n">
        <v>46259</v>
      </c>
      <c r="B181" s="10" t="n">
        <f aca="false">WEEKDAY(A181,2)</f>
        <v>2</v>
      </c>
      <c r="C181" s="10" t="str">
        <f aca="false">INDEX(Days!$B$2:$B$8,B181)</f>
        <v>Tue</v>
      </c>
      <c r="D181" s="10" t="n">
        <f aca="false">INT((A181-$A$5)/7)+1</f>
        <v>26</v>
      </c>
      <c r="E181" s="10" t="n">
        <v>1529</v>
      </c>
    </row>
    <row r="182" customFormat="false" ht="15" hidden="false" customHeight="false" outlineLevel="0" collapsed="false">
      <c r="A182" s="9" t="n">
        <v>46260</v>
      </c>
      <c r="B182" s="10" t="n">
        <f aca="false">WEEKDAY(A182,2)</f>
        <v>3</v>
      </c>
      <c r="C182" s="10" t="str">
        <f aca="false">INDEX(Days!$B$2:$B$8,B182)</f>
        <v>Wed</v>
      </c>
      <c r="D182" s="10" t="n">
        <f aca="false">INT((A182-$A$5)/7)+1</f>
        <v>26</v>
      </c>
      <c r="E182" s="10" t="n">
        <v>1470</v>
      </c>
    </row>
    <row r="183" customFormat="false" ht="15" hidden="false" customHeight="false" outlineLevel="0" collapsed="false">
      <c r="A183" s="9" t="n">
        <v>46261</v>
      </c>
      <c r="B183" s="10" t="n">
        <f aca="false">WEEKDAY(A183,2)</f>
        <v>4</v>
      </c>
      <c r="C183" s="10" t="str">
        <f aca="false">INDEX(Days!$B$2:$B$8,B183)</f>
        <v>Thu</v>
      </c>
      <c r="D183" s="10" t="n">
        <f aca="false">INT((A183-$A$5)/7)+1</f>
        <v>26</v>
      </c>
      <c r="E183" s="10" t="n">
        <v>1371</v>
      </c>
    </row>
    <row r="184" customFormat="false" ht="15" hidden="false" customHeight="false" outlineLevel="0" collapsed="false">
      <c r="A184" s="9" t="n">
        <v>46262</v>
      </c>
      <c r="B184" s="10" t="n">
        <f aca="false">WEEKDAY(A184,2)</f>
        <v>5</v>
      </c>
      <c r="C184" s="10" t="str">
        <f aca="false">INDEX(Days!$B$2:$B$8,B184)</f>
        <v>Fri</v>
      </c>
      <c r="D184" s="10" t="n">
        <f aca="false">INT((A184-$A$5)/7)+1</f>
        <v>26</v>
      </c>
      <c r="E184" s="10" t="n">
        <v>1269</v>
      </c>
    </row>
    <row r="185" customFormat="false" ht="15" hidden="false" customHeight="false" outlineLevel="0" collapsed="false">
      <c r="A185" s="9" t="n">
        <v>46263</v>
      </c>
      <c r="B185" s="10" t="n">
        <f aca="false">WEEKDAY(A185,2)</f>
        <v>6</v>
      </c>
      <c r="C185" s="10" t="str">
        <f aca="false">INDEX(Days!$B$2:$B$8,B185)</f>
        <v>Sat</v>
      </c>
      <c r="D185" s="10" t="n">
        <f aca="false">INT((A185-$A$5)/7)+1</f>
        <v>26</v>
      </c>
      <c r="E185" s="10" t="n">
        <v>1020</v>
      </c>
    </row>
    <row r="186" customFormat="false" ht="15" hidden="false" customHeight="false" outlineLevel="0" collapsed="false">
      <c r="A186" s="9" t="n">
        <v>46264</v>
      </c>
      <c r="B186" s="10" t="n">
        <f aca="false">WEEKDAY(A186,2)</f>
        <v>7</v>
      </c>
      <c r="C186" s="10" t="str">
        <f aca="false">INDEX(Days!$B$2:$B$8,B186)</f>
        <v>Sun</v>
      </c>
      <c r="D186" s="10" t="n">
        <f aca="false">INT((A186-$A$5)/7)+1</f>
        <v>26</v>
      </c>
      <c r="E186" s="10" t="n">
        <v>1002</v>
      </c>
    </row>
  </sheetData>
  <mergeCells count="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BEA"/>
    <pageSetUpPr fitToPage="false"/>
  </sheetPr>
  <dimension ref="A1:B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10" t="s">
        <v>22</v>
      </c>
      <c r="B1" s="10" t="s">
        <v>19</v>
      </c>
    </row>
    <row r="2" customFormat="false" ht="15" hidden="false" customHeight="false" outlineLevel="0" collapsed="false">
      <c r="A2" s="10" t="n">
        <v>1</v>
      </c>
      <c r="B2" s="10" t="s">
        <v>23</v>
      </c>
    </row>
    <row r="3" customFormat="false" ht="15" hidden="false" customHeight="false" outlineLevel="0" collapsed="false">
      <c r="A3" s="10" t="n">
        <v>2</v>
      </c>
      <c r="B3" s="10" t="s">
        <v>24</v>
      </c>
    </row>
    <row r="4" customFormat="false" ht="15" hidden="false" customHeight="false" outlineLevel="0" collapsed="false">
      <c r="A4" s="10" t="n">
        <v>3</v>
      </c>
      <c r="B4" s="10" t="s">
        <v>25</v>
      </c>
    </row>
    <row r="5" customFormat="false" ht="15" hidden="false" customHeight="false" outlineLevel="0" collapsed="false">
      <c r="A5" s="10" t="n">
        <v>4</v>
      </c>
      <c r="B5" s="10" t="s">
        <v>26</v>
      </c>
    </row>
    <row r="6" customFormat="false" ht="15" hidden="false" customHeight="false" outlineLevel="0" collapsed="false">
      <c r="A6" s="10" t="n">
        <v>5</v>
      </c>
      <c r="B6" s="10" t="s">
        <v>27</v>
      </c>
    </row>
    <row r="7" customFormat="false" ht="15" hidden="false" customHeight="false" outlineLevel="0" collapsed="false">
      <c r="A7" s="10" t="n">
        <v>6</v>
      </c>
      <c r="B7" s="10" t="s">
        <v>28</v>
      </c>
    </row>
    <row r="8" customFormat="false" ht="15" hidden="false" customHeight="false" outlineLevel="0" collapsed="false">
      <c r="A8" s="10" t="n">
        <v>7</v>
      </c>
      <c r="B8" s="10" t="s">
        <v>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BEA"/>
    <pageSetUpPr fitToPage="false"/>
  </sheetPr>
  <dimension ref="A1:F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8"/>
    <col collapsed="false" customWidth="true" hidden="false" outlineLevel="0" max="3" min="3" style="0" width="18"/>
    <col collapsed="false" customWidth="true" hidden="false" outlineLevel="0" max="4" min="4" style="0" width="15"/>
    <col collapsed="false" customWidth="true" hidden="false" outlineLevel="0" max="5" min="5" style="0" width="34"/>
  </cols>
  <sheetData>
    <row r="1" customFormat="false" ht="22.05" hidden="false" customHeight="false" outlineLevel="0" collapsed="false">
      <c r="A1" s="11" t="s">
        <v>30</v>
      </c>
    </row>
    <row r="2" customFormat="false" ht="43.5" hidden="false" customHeight="true" outlineLevel="0" collapsed="false">
      <c r="A2" s="7" t="s">
        <v>31</v>
      </c>
      <c r="B2" s="7"/>
      <c r="C2" s="7"/>
      <c r="D2" s="7"/>
      <c r="E2" s="7"/>
      <c r="F2" s="7"/>
    </row>
    <row r="4" customFormat="false" ht="15" hidden="false" customHeight="false" outlineLevel="0" collapsed="false">
      <c r="A4" s="12" t="s">
        <v>32</v>
      </c>
      <c r="C4" s="13" t="n">
        <v>8</v>
      </c>
    </row>
    <row r="5" customFormat="false" ht="15" hidden="false" customHeight="false" outlineLevel="0" collapsed="false">
      <c r="A5" s="10" t="s">
        <v>33</v>
      </c>
      <c r="C5" s="14" t="n">
        <f aca="false">MAX(Data!$A$5:$A$186)</f>
        <v>46264</v>
      </c>
    </row>
    <row r="6" customFormat="false" ht="15" hidden="false" customHeight="false" outlineLevel="0" collapsed="false">
      <c r="A6" s="10" t="s">
        <v>34</v>
      </c>
      <c r="C6" s="9" t="n">
        <f aca="false">C5-C4*7+1</f>
        <v>46209</v>
      </c>
    </row>
    <row r="7" customFormat="false" ht="15" hidden="false" customHeight="false" outlineLevel="0" collapsed="false">
      <c r="A7" s="12" t="s">
        <v>35</v>
      </c>
      <c r="C7" s="15" t="n">
        <f aca="false">AVERAGEIFS(Data!$E$5:$E$186,Data!$A$5:$A$186,"&gt;="&amp;$C$6)</f>
        <v>1327.51785714286</v>
      </c>
    </row>
    <row r="9" customFormat="false" ht="15" hidden="false" customHeight="false" outlineLevel="0" collapsed="false">
      <c r="A9" s="8" t="s">
        <v>22</v>
      </c>
      <c r="B9" s="8" t="s">
        <v>19</v>
      </c>
      <c r="C9" s="8" t="s">
        <v>36</v>
      </c>
      <c r="D9" s="8" t="s">
        <v>37</v>
      </c>
      <c r="E9" s="8" t="s">
        <v>38</v>
      </c>
    </row>
    <row r="10" customFormat="false" ht="15" hidden="false" customHeight="false" outlineLevel="0" collapsed="false">
      <c r="A10" s="16" t="n">
        <v>1</v>
      </c>
      <c r="B10" s="16" t="str">
        <f aca="false">INDEX(Days!$B$2:$B$8,A10)</f>
        <v>Mon</v>
      </c>
      <c r="C10" s="17" t="n">
        <f aca="false">AVERAGEIFS(Data!$E$5:$E$186,Data!$B$5:$B$186,A10,Data!$A$5:$A$186,"&gt;="&amp;$C$6)</f>
        <v>1659.125</v>
      </c>
      <c r="D10" s="18" t="n">
        <f aca="false">C10/$C$7</f>
        <v>1.24979486420683</v>
      </c>
      <c r="E10" s="16" t="str">
        <f aca="false">IF(D10&gt;=1,TEXT(D10-1,"0%")&amp;" busier than average","" &amp;TEXT(1-D10,"0%")&amp;" quieter than average")</f>
        <v>25% busier than average</v>
      </c>
    </row>
    <row r="11" customFormat="false" ht="15" hidden="false" customHeight="false" outlineLevel="0" collapsed="false">
      <c r="A11" s="16" t="n">
        <v>2</v>
      </c>
      <c r="B11" s="16" t="str">
        <f aca="false">INDEX(Days!$B$2:$B$8,A11)</f>
        <v>Tue</v>
      </c>
      <c r="C11" s="17" t="n">
        <f aca="false">AVERAGEIFS(Data!$E$5:$E$186,Data!$B$5:$B$186,A11,Data!$A$5:$A$186,"&gt;="&amp;$C$6)</f>
        <v>1498.25</v>
      </c>
      <c r="D11" s="18" t="n">
        <f aca="false">C11/$C$7</f>
        <v>1.12861005367159</v>
      </c>
      <c r="E11" s="16" t="str">
        <f aca="false">IF(D11&gt;=1,TEXT(D11-1,"0%")&amp;" busier than average","" &amp;TEXT(1-D11,"0%")&amp;" quieter than average")</f>
        <v>13% busier than average</v>
      </c>
    </row>
    <row r="12" customFormat="false" ht="15" hidden="false" customHeight="false" outlineLevel="0" collapsed="false">
      <c r="A12" s="16" t="n">
        <v>3</v>
      </c>
      <c r="B12" s="16" t="str">
        <f aca="false">INDEX(Days!$B$2:$B$8,A12)</f>
        <v>Wed</v>
      </c>
      <c r="C12" s="17" t="n">
        <f aca="false">AVERAGEIFS(Data!$E$5:$E$186,Data!$B$5:$B$186,A12,Data!$A$5:$A$186,"&gt;="&amp;$C$6)</f>
        <v>1450.875</v>
      </c>
      <c r="D12" s="18" t="n">
        <f aca="false">C12/$C$7</f>
        <v>1.09292315142384</v>
      </c>
      <c r="E12" s="16" t="str">
        <f aca="false">IF(D12&gt;=1,TEXT(D12-1,"0%")&amp;" busier than average","" &amp;TEXT(1-D12,"0%")&amp;" quieter than average")</f>
        <v>9% busier than average</v>
      </c>
    </row>
    <row r="13" customFormat="false" ht="15" hidden="false" customHeight="false" outlineLevel="0" collapsed="false">
      <c r="A13" s="16" t="n">
        <v>4</v>
      </c>
      <c r="B13" s="16" t="str">
        <f aca="false">INDEX(Days!$B$2:$B$8,A13)</f>
        <v>Thu</v>
      </c>
      <c r="C13" s="17" t="n">
        <f aca="false">AVERAGEIFS(Data!$E$5:$E$186,Data!$B$5:$B$186,A13,Data!$A$5:$A$186,"&gt;="&amp;$C$6)</f>
        <v>1363</v>
      </c>
      <c r="D13" s="18" t="n">
        <f aca="false">C13/$C$7</f>
        <v>1.02672818498541</v>
      </c>
      <c r="E13" s="16" t="str">
        <f aca="false">IF(D13&gt;=1,TEXT(D13-1,"0%")&amp;" busier than average","" &amp;TEXT(1-D13,"0%")&amp;" quieter than average")</f>
        <v>3% busier than average</v>
      </c>
    </row>
    <row r="14" customFormat="false" ht="15" hidden="false" customHeight="false" outlineLevel="0" collapsed="false">
      <c r="A14" s="16" t="n">
        <v>5</v>
      </c>
      <c r="B14" s="16" t="str">
        <f aca="false">INDEX(Days!$B$2:$B$8,A14)</f>
        <v>Fri</v>
      </c>
      <c r="C14" s="17" t="n">
        <f aca="false">AVERAGEIFS(Data!$E$5:$E$186,Data!$B$5:$B$186,A14,Data!$A$5:$A$186,"&gt;="&amp;$C$6)</f>
        <v>1282.625</v>
      </c>
      <c r="D14" s="18" t="n">
        <f aca="false">C14/$C$7</f>
        <v>0.96618286006376</v>
      </c>
      <c r="E14" s="16" t="str">
        <f aca="false">IF(D14&gt;=1,TEXT(D14-1,"0%")&amp;" busier than average","" &amp;TEXT(1-D14,"0%")&amp;" quieter than average")</f>
        <v>3% quieter than average</v>
      </c>
    </row>
    <row r="15" customFormat="false" ht="15" hidden="false" customHeight="false" outlineLevel="0" collapsed="false">
      <c r="A15" s="16" t="n">
        <v>6</v>
      </c>
      <c r="B15" s="16" t="str">
        <f aca="false">INDEX(Days!$B$2:$B$8,A15)</f>
        <v>Sat</v>
      </c>
      <c r="C15" s="17" t="n">
        <f aca="false">AVERAGEIFS(Data!$E$5:$E$186,Data!$B$5:$B$186,A15,Data!$A$5:$A$186,"&gt;="&amp;$C$6)</f>
        <v>1034.5</v>
      </c>
      <c r="D15" s="18" t="n">
        <f aca="false">C15/$C$7</f>
        <v>0.779273886549818</v>
      </c>
      <c r="E15" s="16" t="str">
        <f aca="false">IF(D15&gt;=1,TEXT(D15-1,"0%")&amp;" busier than average","" &amp;TEXT(1-D15,"0%")&amp;" quieter than average")</f>
        <v>22% quieter than average</v>
      </c>
    </row>
    <row r="16" customFormat="false" ht="15" hidden="false" customHeight="false" outlineLevel="0" collapsed="false">
      <c r="A16" s="16" t="n">
        <v>7</v>
      </c>
      <c r="B16" s="16" t="str">
        <f aca="false">INDEX(Days!$B$2:$B$8,A16)</f>
        <v>Sun</v>
      </c>
      <c r="C16" s="17" t="n">
        <f aca="false">AVERAGEIFS(Data!$E$5:$E$186,Data!$B$5:$B$186,A16,Data!$A$5:$A$186,"&gt;="&amp;$C$6)</f>
        <v>1004.25</v>
      </c>
      <c r="D16" s="18" t="n">
        <f aca="false">C16/$C$7</f>
        <v>0.756486999098748</v>
      </c>
      <c r="E16" s="16" t="str">
        <f aca="false">IF(D16&gt;=1,TEXT(D16-1,"0%")&amp;" busier than average","" &amp;TEXT(1-D16,"0%")&amp;" quieter than average")</f>
        <v>24% quieter than average</v>
      </c>
    </row>
    <row r="17" customFormat="false" ht="15" hidden="false" customHeight="false" outlineLevel="0" collapsed="false">
      <c r="A17" s="19" t="s">
        <v>39</v>
      </c>
      <c r="D17" s="20" t="n">
        <f aca="false">AVERAGE(D10:D16)</f>
        <v>1</v>
      </c>
    </row>
  </sheetData>
  <mergeCells count="1">
    <mergeCell ref="A2:F2"/>
  </mergeCells>
  <dataValidations count="1">
    <dataValidation allowBlank="false" error="Choose a whole number from 2 to 26." errorStyle="stop" errorTitle="Weeks" operator="between" showDropDown="false" showErrorMessage="true" showInputMessage="false" sqref="C4" type="whole">
      <formula1>2</formula1>
      <formula2>26</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BEA"/>
    <pageSetUpPr fitToPage="false"/>
  </sheetPr>
  <dimension ref="A1:G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8"/>
    <col collapsed="false" customWidth="true" hidden="false" outlineLevel="0" max="3" min="3" style="0" width="12"/>
    <col collapsed="false" customWidth="true" hidden="false" outlineLevel="0" max="4" min="4" style="0" width="15"/>
    <col collapsed="false" customWidth="true" hidden="false" outlineLevel="0" max="5" min="5" style="0" width="14"/>
    <col collapsed="false" customWidth="true" hidden="false" outlineLevel="0" max="6" min="6" style="0" width="18"/>
  </cols>
  <sheetData>
    <row r="1" customFormat="false" ht="22.05" hidden="false" customHeight="false" outlineLevel="0" collapsed="false">
      <c r="A1" s="11" t="s">
        <v>40</v>
      </c>
    </row>
    <row r="2" customFormat="false" ht="43.5" hidden="false" customHeight="true" outlineLevel="0" collapsed="false">
      <c r="A2" s="7" t="s">
        <v>41</v>
      </c>
      <c r="B2" s="7"/>
      <c r="C2" s="7"/>
      <c r="D2" s="7"/>
      <c r="E2" s="7"/>
      <c r="F2" s="7"/>
      <c r="G2" s="7"/>
    </row>
    <row r="4" customFormat="false" ht="15" hidden="false" customHeight="false" outlineLevel="0" collapsed="false">
      <c r="A4" s="12" t="s">
        <v>42</v>
      </c>
      <c r="D4" s="21" t="n">
        <f aca="false">'Weekday pattern'!C7</f>
        <v>1327.51785714286</v>
      </c>
    </row>
    <row r="5" customFormat="false" ht="15" hidden="false" customHeight="false" outlineLevel="0" collapsed="false">
      <c r="A5" s="12" t="s">
        <v>43</v>
      </c>
      <c r="D5" s="22" t="n">
        <v>0.005</v>
      </c>
    </row>
    <row r="6" customFormat="false" ht="15" hidden="false" customHeight="false" outlineLevel="0" collapsed="false">
      <c r="A6" s="10" t="s">
        <v>44</v>
      </c>
      <c r="D6" s="14" t="n">
        <f aca="false">'Weekday pattern'!C5+1</f>
        <v>46265</v>
      </c>
    </row>
    <row r="8" customFormat="false" ht="15" hidden="false" customHeight="false" outlineLevel="0" collapsed="false">
      <c r="A8" s="8" t="s">
        <v>17</v>
      </c>
      <c r="B8" s="8" t="s">
        <v>19</v>
      </c>
      <c r="C8" s="8" t="s">
        <v>45</v>
      </c>
      <c r="D8" s="8" t="s">
        <v>37</v>
      </c>
      <c r="E8" s="8" t="s">
        <v>46</v>
      </c>
      <c r="F8" s="8" t="s">
        <v>47</v>
      </c>
    </row>
    <row r="9" customFormat="false" ht="15" hidden="false" customHeight="false" outlineLevel="0" collapsed="false">
      <c r="A9" s="23" t="n">
        <f aca="false">$D$6+0</f>
        <v>46265</v>
      </c>
      <c r="B9" s="16" t="str">
        <f aca="false">INDEX(Days!$B$2:$B$8,WEEKDAY(A9,2))</f>
        <v>Mon</v>
      </c>
      <c r="C9" s="16" t="n">
        <f aca="false">INT((A9-$D$6)/7)+1</f>
        <v>1</v>
      </c>
      <c r="D9" s="18" t="n">
        <f aca="false">INDEX('Weekday pattern'!$D$10:$D$16,WEEKDAY(A9,2))</f>
        <v>1.24979486420683</v>
      </c>
      <c r="E9" s="24" t="n">
        <f aca="false">(1+$D$5)^C9</f>
        <v>1.005</v>
      </c>
      <c r="F9" s="17" t="n">
        <f aca="false">ROUND($D$4*D9*E9,0)</f>
        <v>1667</v>
      </c>
    </row>
    <row r="10" customFormat="false" ht="15" hidden="false" customHeight="false" outlineLevel="0" collapsed="false">
      <c r="A10" s="23" t="n">
        <f aca="false">$D$6+1</f>
        <v>46266</v>
      </c>
      <c r="B10" s="16" t="str">
        <f aca="false">INDEX(Days!$B$2:$B$8,WEEKDAY(A10,2))</f>
        <v>Tue</v>
      </c>
      <c r="C10" s="16" t="n">
        <f aca="false">INT((A10-$D$6)/7)+1</f>
        <v>1</v>
      </c>
      <c r="D10" s="18" t="n">
        <f aca="false">INDEX('Weekday pattern'!$D$10:$D$16,WEEKDAY(A10,2))</f>
        <v>1.12861005367159</v>
      </c>
      <c r="E10" s="24" t="n">
        <f aca="false">(1+$D$5)^C10</f>
        <v>1.005</v>
      </c>
      <c r="F10" s="17" t="n">
        <f aca="false">ROUND($D$4*D10*E10,0)</f>
        <v>1506</v>
      </c>
    </row>
    <row r="11" customFormat="false" ht="15" hidden="false" customHeight="false" outlineLevel="0" collapsed="false">
      <c r="A11" s="23" t="n">
        <f aca="false">$D$6+2</f>
        <v>46267</v>
      </c>
      <c r="B11" s="16" t="str">
        <f aca="false">INDEX(Days!$B$2:$B$8,WEEKDAY(A11,2))</f>
        <v>Wed</v>
      </c>
      <c r="C11" s="16" t="n">
        <f aca="false">INT((A11-$D$6)/7)+1</f>
        <v>1</v>
      </c>
      <c r="D11" s="18" t="n">
        <f aca="false">INDEX('Weekday pattern'!$D$10:$D$16,WEEKDAY(A11,2))</f>
        <v>1.09292315142384</v>
      </c>
      <c r="E11" s="24" t="n">
        <f aca="false">(1+$D$5)^C11</f>
        <v>1.005</v>
      </c>
      <c r="F11" s="17" t="n">
        <f aca="false">ROUND($D$4*D11*E11,0)</f>
        <v>1458</v>
      </c>
    </row>
    <row r="12" customFormat="false" ht="15" hidden="false" customHeight="false" outlineLevel="0" collapsed="false">
      <c r="A12" s="23" t="n">
        <f aca="false">$D$6+3</f>
        <v>46268</v>
      </c>
      <c r="B12" s="16" t="str">
        <f aca="false">INDEX(Days!$B$2:$B$8,WEEKDAY(A12,2))</f>
        <v>Thu</v>
      </c>
      <c r="C12" s="16" t="n">
        <f aca="false">INT((A12-$D$6)/7)+1</f>
        <v>1</v>
      </c>
      <c r="D12" s="18" t="n">
        <f aca="false">INDEX('Weekday pattern'!$D$10:$D$16,WEEKDAY(A12,2))</f>
        <v>1.02672818498541</v>
      </c>
      <c r="E12" s="24" t="n">
        <f aca="false">(1+$D$5)^C12</f>
        <v>1.005</v>
      </c>
      <c r="F12" s="17" t="n">
        <f aca="false">ROUND($D$4*D12*E12,0)</f>
        <v>1370</v>
      </c>
    </row>
    <row r="13" customFormat="false" ht="15" hidden="false" customHeight="false" outlineLevel="0" collapsed="false">
      <c r="A13" s="23" t="n">
        <f aca="false">$D$6+4</f>
        <v>46269</v>
      </c>
      <c r="B13" s="16" t="str">
        <f aca="false">INDEX(Days!$B$2:$B$8,WEEKDAY(A13,2))</f>
        <v>Fri</v>
      </c>
      <c r="C13" s="16" t="n">
        <f aca="false">INT((A13-$D$6)/7)+1</f>
        <v>1</v>
      </c>
      <c r="D13" s="18" t="n">
        <f aca="false">INDEX('Weekday pattern'!$D$10:$D$16,WEEKDAY(A13,2))</f>
        <v>0.96618286006376</v>
      </c>
      <c r="E13" s="24" t="n">
        <f aca="false">(1+$D$5)^C13</f>
        <v>1.005</v>
      </c>
      <c r="F13" s="17" t="n">
        <f aca="false">ROUND($D$4*D13*E13,0)</f>
        <v>1289</v>
      </c>
    </row>
    <row r="14" customFormat="false" ht="15" hidden="false" customHeight="false" outlineLevel="0" collapsed="false">
      <c r="A14" s="23" t="n">
        <f aca="false">$D$6+5</f>
        <v>46270</v>
      </c>
      <c r="B14" s="16" t="str">
        <f aca="false">INDEX(Days!$B$2:$B$8,WEEKDAY(A14,2))</f>
        <v>Sat</v>
      </c>
      <c r="C14" s="16" t="n">
        <f aca="false">INT((A14-$D$6)/7)+1</f>
        <v>1</v>
      </c>
      <c r="D14" s="18" t="n">
        <f aca="false">INDEX('Weekday pattern'!$D$10:$D$16,WEEKDAY(A14,2))</f>
        <v>0.779273886549818</v>
      </c>
      <c r="E14" s="24" t="n">
        <f aca="false">(1+$D$5)^C14</f>
        <v>1.005</v>
      </c>
      <c r="F14" s="17" t="n">
        <f aca="false">ROUND($D$4*D14*E14,0)</f>
        <v>1040</v>
      </c>
    </row>
    <row r="15" customFormat="false" ht="15" hidden="false" customHeight="false" outlineLevel="0" collapsed="false">
      <c r="A15" s="23" t="n">
        <f aca="false">$D$6+6</f>
        <v>46271</v>
      </c>
      <c r="B15" s="16" t="str">
        <f aca="false">INDEX(Days!$B$2:$B$8,WEEKDAY(A15,2))</f>
        <v>Sun</v>
      </c>
      <c r="C15" s="16" t="n">
        <f aca="false">INT((A15-$D$6)/7)+1</f>
        <v>1</v>
      </c>
      <c r="D15" s="18" t="n">
        <f aca="false">INDEX('Weekday pattern'!$D$10:$D$16,WEEKDAY(A15,2))</f>
        <v>0.756486999098748</v>
      </c>
      <c r="E15" s="24" t="n">
        <f aca="false">(1+$D$5)^C15</f>
        <v>1.005</v>
      </c>
      <c r="F15" s="17" t="n">
        <f aca="false">ROUND($D$4*D15*E15,0)</f>
        <v>1009</v>
      </c>
    </row>
    <row r="16" customFormat="false" ht="15" hidden="false" customHeight="false" outlineLevel="0" collapsed="false">
      <c r="A16" s="23" t="n">
        <f aca="false">$D$6+7</f>
        <v>46272</v>
      </c>
      <c r="B16" s="16" t="str">
        <f aca="false">INDEX(Days!$B$2:$B$8,WEEKDAY(A16,2))</f>
        <v>Mon</v>
      </c>
      <c r="C16" s="16" t="n">
        <f aca="false">INT((A16-$D$6)/7)+1</f>
        <v>2</v>
      </c>
      <c r="D16" s="18" t="n">
        <f aca="false">INDEX('Weekday pattern'!$D$10:$D$16,WEEKDAY(A16,2))</f>
        <v>1.24979486420683</v>
      </c>
      <c r="E16" s="24" t="n">
        <f aca="false">(1+$D$5)^C16</f>
        <v>1.010025</v>
      </c>
      <c r="F16" s="17" t="n">
        <f aca="false">ROUND($D$4*D16*E16,0)</f>
        <v>1676</v>
      </c>
    </row>
    <row r="17" customFormat="false" ht="15" hidden="false" customHeight="false" outlineLevel="0" collapsed="false">
      <c r="A17" s="23" t="n">
        <f aca="false">$D$6+8</f>
        <v>46273</v>
      </c>
      <c r="B17" s="16" t="str">
        <f aca="false">INDEX(Days!$B$2:$B$8,WEEKDAY(A17,2))</f>
        <v>Tue</v>
      </c>
      <c r="C17" s="16" t="n">
        <f aca="false">INT((A17-$D$6)/7)+1</f>
        <v>2</v>
      </c>
      <c r="D17" s="18" t="n">
        <f aca="false">INDEX('Weekday pattern'!$D$10:$D$16,WEEKDAY(A17,2))</f>
        <v>1.12861005367159</v>
      </c>
      <c r="E17" s="24" t="n">
        <f aca="false">(1+$D$5)^C17</f>
        <v>1.010025</v>
      </c>
      <c r="F17" s="17" t="n">
        <f aca="false">ROUND($D$4*D17*E17,0)</f>
        <v>1513</v>
      </c>
    </row>
    <row r="18" customFormat="false" ht="15" hidden="false" customHeight="false" outlineLevel="0" collapsed="false">
      <c r="A18" s="23" t="n">
        <f aca="false">$D$6+9</f>
        <v>46274</v>
      </c>
      <c r="B18" s="16" t="str">
        <f aca="false">INDEX(Days!$B$2:$B$8,WEEKDAY(A18,2))</f>
        <v>Wed</v>
      </c>
      <c r="C18" s="16" t="n">
        <f aca="false">INT((A18-$D$6)/7)+1</f>
        <v>2</v>
      </c>
      <c r="D18" s="18" t="n">
        <f aca="false">INDEX('Weekday pattern'!$D$10:$D$16,WEEKDAY(A18,2))</f>
        <v>1.09292315142384</v>
      </c>
      <c r="E18" s="24" t="n">
        <f aca="false">(1+$D$5)^C18</f>
        <v>1.010025</v>
      </c>
      <c r="F18" s="17" t="n">
        <f aca="false">ROUND($D$4*D18*E18,0)</f>
        <v>1465</v>
      </c>
    </row>
    <row r="19" customFormat="false" ht="15" hidden="false" customHeight="false" outlineLevel="0" collapsed="false">
      <c r="A19" s="23" t="n">
        <f aca="false">$D$6+10</f>
        <v>46275</v>
      </c>
      <c r="B19" s="16" t="str">
        <f aca="false">INDEX(Days!$B$2:$B$8,WEEKDAY(A19,2))</f>
        <v>Thu</v>
      </c>
      <c r="C19" s="16" t="n">
        <f aca="false">INT((A19-$D$6)/7)+1</f>
        <v>2</v>
      </c>
      <c r="D19" s="18" t="n">
        <f aca="false">INDEX('Weekday pattern'!$D$10:$D$16,WEEKDAY(A19,2))</f>
        <v>1.02672818498541</v>
      </c>
      <c r="E19" s="24" t="n">
        <f aca="false">(1+$D$5)^C19</f>
        <v>1.010025</v>
      </c>
      <c r="F19" s="17" t="n">
        <f aca="false">ROUND($D$4*D19*E19,0)</f>
        <v>1377</v>
      </c>
    </row>
    <row r="20" customFormat="false" ht="15" hidden="false" customHeight="false" outlineLevel="0" collapsed="false">
      <c r="A20" s="23" t="n">
        <f aca="false">$D$6+11</f>
        <v>46276</v>
      </c>
      <c r="B20" s="16" t="str">
        <f aca="false">INDEX(Days!$B$2:$B$8,WEEKDAY(A20,2))</f>
        <v>Fri</v>
      </c>
      <c r="C20" s="16" t="n">
        <f aca="false">INT((A20-$D$6)/7)+1</f>
        <v>2</v>
      </c>
      <c r="D20" s="18" t="n">
        <f aca="false">INDEX('Weekday pattern'!$D$10:$D$16,WEEKDAY(A20,2))</f>
        <v>0.96618286006376</v>
      </c>
      <c r="E20" s="24" t="n">
        <f aca="false">(1+$D$5)^C20</f>
        <v>1.010025</v>
      </c>
      <c r="F20" s="17" t="n">
        <f aca="false">ROUND($D$4*D20*E20,0)</f>
        <v>1295</v>
      </c>
    </row>
    <row r="21" customFormat="false" ht="15" hidden="false" customHeight="false" outlineLevel="0" collapsed="false">
      <c r="A21" s="23" t="n">
        <f aca="false">$D$6+12</f>
        <v>46277</v>
      </c>
      <c r="B21" s="16" t="str">
        <f aca="false">INDEX(Days!$B$2:$B$8,WEEKDAY(A21,2))</f>
        <v>Sat</v>
      </c>
      <c r="C21" s="16" t="n">
        <f aca="false">INT((A21-$D$6)/7)+1</f>
        <v>2</v>
      </c>
      <c r="D21" s="18" t="n">
        <f aca="false">INDEX('Weekday pattern'!$D$10:$D$16,WEEKDAY(A21,2))</f>
        <v>0.779273886549818</v>
      </c>
      <c r="E21" s="24" t="n">
        <f aca="false">(1+$D$5)^C21</f>
        <v>1.010025</v>
      </c>
      <c r="F21" s="17" t="n">
        <f aca="false">ROUND($D$4*D21*E21,0)</f>
        <v>1045</v>
      </c>
    </row>
    <row r="22" customFormat="false" ht="15" hidden="false" customHeight="false" outlineLevel="0" collapsed="false">
      <c r="A22" s="23" t="n">
        <f aca="false">$D$6+13</f>
        <v>46278</v>
      </c>
      <c r="B22" s="16" t="str">
        <f aca="false">INDEX(Days!$B$2:$B$8,WEEKDAY(A22,2))</f>
        <v>Sun</v>
      </c>
      <c r="C22" s="16" t="n">
        <f aca="false">INT((A22-$D$6)/7)+1</f>
        <v>2</v>
      </c>
      <c r="D22" s="18" t="n">
        <f aca="false">INDEX('Weekday pattern'!$D$10:$D$16,WEEKDAY(A22,2))</f>
        <v>0.756486999098748</v>
      </c>
      <c r="E22" s="24" t="n">
        <f aca="false">(1+$D$5)^C22</f>
        <v>1.010025</v>
      </c>
      <c r="F22" s="17" t="n">
        <f aca="false">ROUND($D$4*D22*E22,0)</f>
        <v>1014</v>
      </c>
    </row>
    <row r="23" customFormat="false" ht="15" hidden="false" customHeight="false" outlineLevel="0" collapsed="false">
      <c r="A23" s="23" t="n">
        <f aca="false">$D$6+14</f>
        <v>46279</v>
      </c>
      <c r="B23" s="16" t="str">
        <f aca="false">INDEX(Days!$B$2:$B$8,WEEKDAY(A23,2))</f>
        <v>Mon</v>
      </c>
      <c r="C23" s="16" t="n">
        <f aca="false">INT((A23-$D$6)/7)+1</f>
        <v>3</v>
      </c>
      <c r="D23" s="18" t="n">
        <f aca="false">INDEX('Weekday pattern'!$D$10:$D$16,WEEKDAY(A23,2))</f>
        <v>1.24979486420683</v>
      </c>
      <c r="E23" s="24" t="n">
        <f aca="false">(1+$D$5)^C23</f>
        <v>1.015075125</v>
      </c>
      <c r="F23" s="17" t="n">
        <f aca="false">ROUND($D$4*D23*E23,0)</f>
        <v>1684</v>
      </c>
    </row>
    <row r="24" customFormat="false" ht="15" hidden="false" customHeight="false" outlineLevel="0" collapsed="false">
      <c r="A24" s="23" t="n">
        <f aca="false">$D$6+15</f>
        <v>46280</v>
      </c>
      <c r="B24" s="16" t="str">
        <f aca="false">INDEX(Days!$B$2:$B$8,WEEKDAY(A24,2))</f>
        <v>Tue</v>
      </c>
      <c r="C24" s="16" t="n">
        <f aca="false">INT((A24-$D$6)/7)+1</f>
        <v>3</v>
      </c>
      <c r="D24" s="18" t="n">
        <f aca="false">INDEX('Weekday pattern'!$D$10:$D$16,WEEKDAY(A24,2))</f>
        <v>1.12861005367159</v>
      </c>
      <c r="E24" s="24" t="n">
        <f aca="false">(1+$D$5)^C24</f>
        <v>1.015075125</v>
      </c>
      <c r="F24" s="17" t="n">
        <f aca="false">ROUND($D$4*D24*E24,0)</f>
        <v>1521</v>
      </c>
    </row>
    <row r="25" customFormat="false" ht="15" hidden="false" customHeight="false" outlineLevel="0" collapsed="false">
      <c r="A25" s="23" t="n">
        <f aca="false">$D$6+16</f>
        <v>46281</v>
      </c>
      <c r="B25" s="16" t="str">
        <f aca="false">INDEX(Days!$B$2:$B$8,WEEKDAY(A25,2))</f>
        <v>Wed</v>
      </c>
      <c r="C25" s="16" t="n">
        <f aca="false">INT((A25-$D$6)/7)+1</f>
        <v>3</v>
      </c>
      <c r="D25" s="18" t="n">
        <f aca="false">INDEX('Weekday pattern'!$D$10:$D$16,WEEKDAY(A25,2))</f>
        <v>1.09292315142384</v>
      </c>
      <c r="E25" s="24" t="n">
        <f aca="false">(1+$D$5)^C25</f>
        <v>1.015075125</v>
      </c>
      <c r="F25" s="17" t="n">
        <f aca="false">ROUND($D$4*D25*E25,0)</f>
        <v>1473</v>
      </c>
    </row>
    <row r="26" customFormat="false" ht="15" hidden="false" customHeight="false" outlineLevel="0" collapsed="false">
      <c r="A26" s="23" t="n">
        <f aca="false">$D$6+17</f>
        <v>46282</v>
      </c>
      <c r="B26" s="16" t="str">
        <f aca="false">INDEX(Days!$B$2:$B$8,WEEKDAY(A26,2))</f>
        <v>Thu</v>
      </c>
      <c r="C26" s="16" t="n">
        <f aca="false">INT((A26-$D$6)/7)+1</f>
        <v>3</v>
      </c>
      <c r="D26" s="18" t="n">
        <f aca="false">INDEX('Weekday pattern'!$D$10:$D$16,WEEKDAY(A26,2))</f>
        <v>1.02672818498541</v>
      </c>
      <c r="E26" s="24" t="n">
        <f aca="false">(1+$D$5)^C26</f>
        <v>1.015075125</v>
      </c>
      <c r="F26" s="17" t="n">
        <f aca="false">ROUND($D$4*D26*E26,0)</f>
        <v>1384</v>
      </c>
    </row>
    <row r="27" customFormat="false" ht="15" hidden="false" customHeight="false" outlineLevel="0" collapsed="false">
      <c r="A27" s="23" t="n">
        <f aca="false">$D$6+18</f>
        <v>46283</v>
      </c>
      <c r="B27" s="16" t="str">
        <f aca="false">INDEX(Days!$B$2:$B$8,WEEKDAY(A27,2))</f>
        <v>Fri</v>
      </c>
      <c r="C27" s="16" t="n">
        <f aca="false">INT((A27-$D$6)/7)+1</f>
        <v>3</v>
      </c>
      <c r="D27" s="18" t="n">
        <f aca="false">INDEX('Weekday pattern'!$D$10:$D$16,WEEKDAY(A27,2))</f>
        <v>0.96618286006376</v>
      </c>
      <c r="E27" s="24" t="n">
        <f aca="false">(1+$D$5)^C27</f>
        <v>1.015075125</v>
      </c>
      <c r="F27" s="17" t="n">
        <f aca="false">ROUND($D$4*D27*E27,0)</f>
        <v>1302</v>
      </c>
    </row>
    <row r="28" customFormat="false" ht="15" hidden="false" customHeight="false" outlineLevel="0" collapsed="false">
      <c r="A28" s="23" t="n">
        <f aca="false">$D$6+19</f>
        <v>46284</v>
      </c>
      <c r="B28" s="16" t="str">
        <f aca="false">INDEX(Days!$B$2:$B$8,WEEKDAY(A28,2))</f>
        <v>Sat</v>
      </c>
      <c r="C28" s="16" t="n">
        <f aca="false">INT((A28-$D$6)/7)+1</f>
        <v>3</v>
      </c>
      <c r="D28" s="18" t="n">
        <f aca="false">INDEX('Weekday pattern'!$D$10:$D$16,WEEKDAY(A28,2))</f>
        <v>0.779273886549818</v>
      </c>
      <c r="E28" s="24" t="n">
        <f aca="false">(1+$D$5)^C28</f>
        <v>1.015075125</v>
      </c>
      <c r="F28" s="17" t="n">
        <f aca="false">ROUND($D$4*D28*E28,0)</f>
        <v>1050</v>
      </c>
    </row>
    <row r="29" customFormat="false" ht="15" hidden="false" customHeight="false" outlineLevel="0" collapsed="false">
      <c r="A29" s="23" t="n">
        <f aca="false">$D$6+20</f>
        <v>46285</v>
      </c>
      <c r="B29" s="16" t="str">
        <f aca="false">INDEX(Days!$B$2:$B$8,WEEKDAY(A29,2))</f>
        <v>Sun</v>
      </c>
      <c r="C29" s="16" t="n">
        <f aca="false">INT((A29-$D$6)/7)+1</f>
        <v>3</v>
      </c>
      <c r="D29" s="18" t="n">
        <f aca="false">INDEX('Weekday pattern'!$D$10:$D$16,WEEKDAY(A29,2))</f>
        <v>0.756486999098748</v>
      </c>
      <c r="E29" s="24" t="n">
        <f aca="false">(1+$D$5)^C29</f>
        <v>1.015075125</v>
      </c>
      <c r="F29" s="17" t="n">
        <f aca="false">ROUND($D$4*D29*E29,0)</f>
        <v>1019</v>
      </c>
    </row>
    <row r="30" customFormat="false" ht="15" hidden="false" customHeight="false" outlineLevel="0" collapsed="false">
      <c r="A30" s="23" t="n">
        <f aca="false">$D$6+21</f>
        <v>46286</v>
      </c>
      <c r="B30" s="16" t="str">
        <f aca="false">INDEX(Days!$B$2:$B$8,WEEKDAY(A30,2))</f>
        <v>Mon</v>
      </c>
      <c r="C30" s="16" t="n">
        <f aca="false">INT((A30-$D$6)/7)+1</f>
        <v>4</v>
      </c>
      <c r="D30" s="18" t="n">
        <f aca="false">INDEX('Weekday pattern'!$D$10:$D$16,WEEKDAY(A30,2))</f>
        <v>1.24979486420683</v>
      </c>
      <c r="E30" s="24" t="n">
        <f aca="false">(1+$D$5)^C30</f>
        <v>1.020150500625</v>
      </c>
      <c r="F30" s="17" t="n">
        <f aca="false">ROUND($D$4*D30*E30,0)</f>
        <v>1693</v>
      </c>
    </row>
    <row r="31" customFormat="false" ht="15" hidden="false" customHeight="false" outlineLevel="0" collapsed="false">
      <c r="A31" s="23" t="n">
        <f aca="false">$D$6+22</f>
        <v>46287</v>
      </c>
      <c r="B31" s="16" t="str">
        <f aca="false">INDEX(Days!$B$2:$B$8,WEEKDAY(A31,2))</f>
        <v>Tue</v>
      </c>
      <c r="C31" s="16" t="n">
        <f aca="false">INT((A31-$D$6)/7)+1</f>
        <v>4</v>
      </c>
      <c r="D31" s="18" t="n">
        <f aca="false">INDEX('Weekday pattern'!$D$10:$D$16,WEEKDAY(A31,2))</f>
        <v>1.12861005367159</v>
      </c>
      <c r="E31" s="24" t="n">
        <f aca="false">(1+$D$5)^C31</f>
        <v>1.020150500625</v>
      </c>
      <c r="F31" s="17" t="n">
        <f aca="false">ROUND($D$4*D31*E31,0)</f>
        <v>1528</v>
      </c>
    </row>
    <row r="32" customFormat="false" ht="15" hidden="false" customHeight="false" outlineLevel="0" collapsed="false">
      <c r="A32" s="23" t="n">
        <f aca="false">$D$6+23</f>
        <v>46288</v>
      </c>
      <c r="B32" s="16" t="str">
        <f aca="false">INDEX(Days!$B$2:$B$8,WEEKDAY(A32,2))</f>
        <v>Wed</v>
      </c>
      <c r="C32" s="16" t="n">
        <f aca="false">INT((A32-$D$6)/7)+1</f>
        <v>4</v>
      </c>
      <c r="D32" s="18" t="n">
        <f aca="false">INDEX('Weekday pattern'!$D$10:$D$16,WEEKDAY(A32,2))</f>
        <v>1.09292315142384</v>
      </c>
      <c r="E32" s="24" t="n">
        <f aca="false">(1+$D$5)^C32</f>
        <v>1.020150500625</v>
      </c>
      <c r="F32" s="17" t="n">
        <f aca="false">ROUND($D$4*D32*E32,0)</f>
        <v>1480</v>
      </c>
    </row>
    <row r="33" customFormat="false" ht="15" hidden="false" customHeight="false" outlineLevel="0" collapsed="false">
      <c r="A33" s="23" t="n">
        <f aca="false">$D$6+24</f>
        <v>46289</v>
      </c>
      <c r="B33" s="16" t="str">
        <f aca="false">INDEX(Days!$B$2:$B$8,WEEKDAY(A33,2))</f>
        <v>Thu</v>
      </c>
      <c r="C33" s="16" t="n">
        <f aca="false">INT((A33-$D$6)/7)+1</f>
        <v>4</v>
      </c>
      <c r="D33" s="18" t="n">
        <f aca="false">INDEX('Weekday pattern'!$D$10:$D$16,WEEKDAY(A33,2))</f>
        <v>1.02672818498541</v>
      </c>
      <c r="E33" s="24" t="n">
        <f aca="false">(1+$D$5)^C33</f>
        <v>1.020150500625</v>
      </c>
      <c r="F33" s="17" t="n">
        <f aca="false">ROUND($D$4*D33*E33,0)</f>
        <v>1390</v>
      </c>
    </row>
    <row r="34" customFormat="false" ht="15" hidden="false" customHeight="false" outlineLevel="0" collapsed="false">
      <c r="A34" s="23" t="n">
        <f aca="false">$D$6+25</f>
        <v>46290</v>
      </c>
      <c r="B34" s="16" t="str">
        <f aca="false">INDEX(Days!$B$2:$B$8,WEEKDAY(A34,2))</f>
        <v>Fri</v>
      </c>
      <c r="C34" s="16" t="n">
        <f aca="false">INT((A34-$D$6)/7)+1</f>
        <v>4</v>
      </c>
      <c r="D34" s="18" t="n">
        <f aca="false">INDEX('Weekday pattern'!$D$10:$D$16,WEEKDAY(A34,2))</f>
        <v>0.96618286006376</v>
      </c>
      <c r="E34" s="24" t="n">
        <f aca="false">(1+$D$5)^C34</f>
        <v>1.020150500625</v>
      </c>
      <c r="F34" s="17" t="n">
        <f aca="false">ROUND($D$4*D34*E34,0)</f>
        <v>1308</v>
      </c>
    </row>
    <row r="35" customFormat="false" ht="15" hidden="false" customHeight="false" outlineLevel="0" collapsed="false">
      <c r="A35" s="23" t="n">
        <f aca="false">$D$6+26</f>
        <v>46291</v>
      </c>
      <c r="B35" s="16" t="str">
        <f aca="false">INDEX(Days!$B$2:$B$8,WEEKDAY(A35,2))</f>
        <v>Sat</v>
      </c>
      <c r="C35" s="16" t="n">
        <f aca="false">INT((A35-$D$6)/7)+1</f>
        <v>4</v>
      </c>
      <c r="D35" s="18" t="n">
        <f aca="false">INDEX('Weekday pattern'!$D$10:$D$16,WEEKDAY(A35,2))</f>
        <v>0.779273886549818</v>
      </c>
      <c r="E35" s="24" t="n">
        <f aca="false">(1+$D$5)^C35</f>
        <v>1.020150500625</v>
      </c>
      <c r="F35" s="17" t="n">
        <f aca="false">ROUND($D$4*D35*E35,0)</f>
        <v>1055</v>
      </c>
    </row>
    <row r="36" customFormat="false" ht="15" hidden="false" customHeight="false" outlineLevel="0" collapsed="false">
      <c r="A36" s="23" t="n">
        <f aca="false">$D$6+27</f>
        <v>46292</v>
      </c>
      <c r="B36" s="16" t="str">
        <f aca="false">INDEX(Days!$B$2:$B$8,WEEKDAY(A36,2))</f>
        <v>Sun</v>
      </c>
      <c r="C36" s="16" t="n">
        <f aca="false">INT((A36-$D$6)/7)+1</f>
        <v>4</v>
      </c>
      <c r="D36" s="18" t="n">
        <f aca="false">INDEX('Weekday pattern'!$D$10:$D$16,WEEKDAY(A36,2))</f>
        <v>0.756486999098748</v>
      </c>
      <c r="E36" s="24" t="n">
        <f aca="false">(1+$D$5)^C36</f>
        <v>1.020150500625</v>
      </c>
      <c r="F36" s="17" t="n">
        <f aca="false">ROUND($D$4*D36*E36,0)</f>
        <v>1024</v>
      </c>
    </row>
    <row r="38" customFormat="false" ht="35.05" hidden="false" customHeight="false" outlineLevel="0" collapsed="false">
      <c r="A38" s="8" t="s">
        <v>45</v>
      </c>
      <c r="B38" s="8" t="s">
        <v>47</v>
      </c>
    </row>
    <row r="39" customFormat="false" ht="15" hidden="false" customHeight="false" outlineLevel="0" collapsed="false">
      <c r="A39" s="10" t="n">
        <v>1</v>
      </c>
      <c r="B39" s="15" t="n">
        <f aca="false">SUMIFS($F$9:$F$36,$C$9:$C$36,A39)</f>
        <v>9339</v>
      </c>
    </row>
    <row r="40" customFormat="false" ht="15" hidden="false" customHeight="false" outlineLevel="0" collapsed="false">
      <c r="A40" s="10" t="n">
        <v>2</v>
      </c>
      <c r="B40" s="15" t="n">
        <f aca="false">SUMIFS($F$9:$F$36,$C$9:$C$36,A40)</f>
        <v>9385</v>
      </c>
    </row>
    <row r="41" customFormat="false" ht="15" hidden="false" customHeight="false" outlineLevel="0" collapsed="false">
      <c r="A41" s="10" t="n">
        <v>3</v>
      </c>
      <c r="B41" s="15" t="n">
        <f aca="false">SUMIFS($F$9:$F$36,$C$9:$C$36,A41)</f>
        <v>9433</v>
      </c>
    </row>
    <row r="42" customFormat="false" ht="15" hidden="false" customHeight="false" outlineLevel="0" collapsed="false">
      <c r="A42" s="10" t="n">
        <v>4</v>
      </c>
      <c r="B42" s="15" t="n">
        <f aca="false">SUMIFS($F$9:$F$36,$C$9:$C$36,A42)</f>
        <v>9478</v>
      </c>
    </row>
  </sheetData>
  <mergeCells count="1">
    <mergeCell ref="A2:G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BEA"/>
    <pageSetUpPr fitToPage="false"/>
  </sheetPr>
  <dimension ref="A1:H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8"/>
    <col collapsed="false" customWidth="true" hidden="false" outlineLevel="0" max="3" min="3" style="0" width="15"/>
    <col collapsed="false" customWidth="true" hidden="false" outlineLevel="0" max="5" min="4" style="0" width="12"/>
    <col collapsed="false" customWidth="true" hidden="false" outlineLevel="0" max="6" min="6" style="0" width="22"/>
    <col collapsed="false" customWidth="true" hidden="false" outlineLevel="0" max="7" min="7" style="0" width="16"/>
  </cols>
  <sheetData>
    <row r="1" customFormat="false" ht="22.05" hidden="false" customHeight="false" outlineLevel="0" collapsed="false">
      <c r="A1" s="11" t="s">
        <v>48</v>
      </c>
    </row>
    <row r="2" customFormat="false" ht="43.5" hidden="false" customHeight="true" outlineLevel="0" collapsed="false">
      <c r="A2" s="7" t="s">
        <v>49</v>
      </c>
      <c r="B2" s="7"/>
      <c r="C2" s="7"/>
      <c r="D2" s="7"/>
      <c r="E2" s="7"/>
      <c r="F2" s="7"/>
      <c r="G2" s="7"/>
      <c r="H2" s="7"/>
    </row>
    <row r="4" customFormat="false" ht="15" hidden="false" customHeight="false" outlineLevel="0" collapsed="false">
      <c r="A4" s="10" t="s">
        <v>50</v>
      </c>
      <c r="C4" s="25" t="str">
        <f aca="false">TEXT(Data!A103,"dd mmm")&amp;" to "&amp;TEXT(Data!A158,"dd mmm yyyy")</f>
        <v>08 Jun to 02 Aug 2026</v>
      </c>
    </row>
    <row r="5" customFormat="false" ht="15" hidden="false" customHeight="false" outlineLevel="0" collapsed="false">
      <c r="A5" s="12" t="s">
        <v>51</v>
      </c>
      <c r="C5" s="21" t="n">
        <f aca="false">AVERAGE(Data!E103:E158)</f>
        <v>1299.16071428571</v>
      </c>
    </row>
    <row r="6" customFormat="false" ht="15" hidden="false" customHeight="false" outlineLevel="0" collapsed="false">
      <c r="A6" s="10" t="s">
        <v>52</v>
      </c>
      <c r="C6" s="26" t="n">
        <f aca="false">Forecast!D5</f>
        <v>0.005</v>
      </c>
    </row>
    <row r="8" customFormat="false" ht="15" hidden="false" customHeight="false" outlineLevel="0" collapsed="false">
      <c r="A8" s="8" t="s">
        <v>17</v>
      </c>
      <c r="B8" s="8" t="s">
        <v>19</v>
      </c>
      <c r="C8" s="8" t="s">
        <v>53</v>
      </c>
      <c r="D8" s="8" t="s">
        <v>54</v>
      </c>
      <c r="E8" s="8" t="s">
        <v>55</v>
      </c>
      <c r="F8" s="8" t="s">
        <v>56</v>
      </c>
      <c r="G8" s="8" t="s">
        <v>57</v>
      </c>
    </row>
    <row r="9" customFormat="false" ht="15" hidden="false" customHeight="false" outlineLevel="0" collapsed="false">
      <c r="A9" s="23" t="n">
        <f aca="false">Data!A159</f>
        <v>46237</v>
      </c>
      <c r="B9" s="16" t="str">
        <f aca="false">Data!C159</f>
        <v>Mon</v>
      </c>
      <c r="C9" s="18" t="n">
        <f aca="false">AVERAGEIFS(Data!$E$103:$E$158,Data!$B$103:$B$158,Data!B159)/$C$5</f>
        <v>1.25446373345429</v>
      </c>
      <c r="D9" s="17" t="n">
        <f aca="false">ROUND($C$5*C9*(1+$C$6)^(INT(0/7)+1),0)</f>
        <v>1638</v>
      </c>
      <c r="E9" s="17" t="n">
        <f aca="false">Data!E159</f>
        <v>1678</v>
      </c>
      <c r="F9" s="27" t="n">
        <f aca="false">D9-E9</f>
        <v>-40</v>
      </c>
      <c r="G9" s="28" t="n">
        <f aca="false">ABS(F9)/E9</f>
        <v>0.0238379022646007</v>
      </c>
    </row>
    <row r="10" customFormat="false" ht="15" hidden="false" customHeight="false" outlineLevel="0" collapsed="false">
      <c r="A10" s="23" t="n">
        <f aca="false">Data!A160</f>
        <v>46238</v>
      </c>
      <c r="B10" s="16" t="str">
        <f aca="false">Data!C160</f>
        <v>Tue</v>
      </c>
      <c r="C10" s="18" t="n">
        <f aca="false">AVERAGEIFS(Data!$E$103:$E$158,Data!$B$103:$B$158,Data!B160)/$C$5</f>
        <v>1.13390513105989</v>
      </c>
      <c r="D10" s="17" t="n">
        <f aca="false">ROUND($C$5*C10*(1+$C$6)^(INT(1/7)+1),0)</f>
        <v>1480</v>
      </c>
      <c r="E10" s="17" t="n">
        <f aca="false">Data!E160</f>
        <v>1497</v>
      </c>
      <c r="F10" s="27" t="n">
        <f aca="false">D10-E10</f>
        <v>-17</v>
      </c>
      <c r="G10" s="28" t="n">
        <f aca="false">ABS(F10)/E10</f>
        <v>0.0113560454241817</v>
      </c>
    </row>
    <row r="11" customFormat="false" ht="15" hidden="false" customHeight="false" outlineLevel="0" collapsed="false">
      <c r="A11" s="23" t="n">
        <f aca="false">Data!A161</f>
        <v>46239</v>
      </c>
      <c r="B11" s="16" t="str">
        <f aca="false">Data!C161</f>
        <v>Wed</v>
      </c>
      <c r="C11" s="18" t="n">
        <f aca="false">AVERAGEIFS(Data!$E$103:$E$158,Data!$B$103:$B$158,Data!B161)/$C$5</f>
        <v>1.08868362816654</v>
      </c>
      <c r="D11" s="17" t="n">
        <f aca="false">ROUND($C$5*C11*(1+$C$6)^(INT(2/7)+1),0)</f>
        <v>1421</v>
      </c>
      <c r="E11" s="17" t="n">
        <f aca="false">Data!E161</f>
        <v>1451</v>
      </c>
      <c r="F11" s="27" t="n">
        <f aca="false">D11-E11</f>
        <v>-30</v>
      </c>
      <c r="G11" s="28" t="n">
        <f aca="false">ABS(F11)/E11</f>
        <v>0.0206753962784287</v>
      </c>
    </row>
    <row r="12" customFormat="false" ht="15" hidden="false" customHeight="false" outlineLevel="0" collapsed="false">
      <c r="A12" s="23" t="n">
        <f aca="false">Data!A162</f>
        <v>46240</v>
      </c>
      <c r="B12" s="16" t="str">
        <f aca="false">Data!C162</f>
        <v>Thu</v>
      </c>
      <c r="C12" s="18" t="n">
        <f aca="false">AVERAGEIFS(Data!$E$103:$E$158,Data!$B$103:$B$158,Data!B162)/$C$5</f>
        <v>1.0205627259357</v>
      </c>
      <c r="D12" s="17" t="n">
        <f aca="false">ROUND($C$5*C12*(1+$C$6)^(INT(3/7)+1),0)</f>
        <v>1333</v>
      </c>
      <c r="E12" s="17" t="n">
        <f aca="false">Data!E162</f>
        <v>1314</v>
      </c>
      <c r="F12" s="27" t="n">
        <f aca="false">D12-E12</f>
        <v>19</v>
      </c>
      <c r="G12" s="28" t="n">
        <f aca="false">ABS(F12)/E12</f>
        <v>0.0144596651445967</v>
      </c>
    </row>
    <row r="13" customFormat="false" ht="15" hidden="false" customHeight="false" outlineLevel="0" collapsed="false">
      <c r="A13" s="23" t="n">
        <f aca="false">Data!A163</f>
        <v>46241</v>
      </c>
      <c r="B13" s="16" t="str">
        <f aca="false">Data!C163</f>
        <v>Fri</v>
      </c>
      <c r="C13" s="18" t="n">
        <f aca="false">AVERAGEIFS(Data!$E$103:$E$158,Data!$B$103:$B$158,Data!B163)/$C$5</f>
        <v>0.969087185408162</v>
      </c>
      <c r="D13" s="17" t="n">
        <f aca="false">ROUND($C$5*C13*(1+$C$6)^(INT(4/7)+1),0)</f>
        <v>1265</v>
      </c>
      <c r="E13" s="17" t="n">
        <f aca="false">Data!E163</f>
        <v>1302</v>
      </c>
      <c r="F13" s="27" t="n">
        <f aca="false">D13-E13</f>
        <v>-37</v>
      </c>
      <c r="G13" s="28" t="n">
        <f aca="false">ABS(F13)/E13</f>
        <v>0.0284178187403994</v>
      </c>
    </row>
    <row r="14" customFormat="false" ht="15" hidden="false" customHeight="false" outlineLevel="0" collapsed="false">
      <c r="A14" s="23" t="n">
        <f aca="false">Data!A164</f>
        <v>46242</v>
      </c>
      <c r="B14" s="16" t="str">
        <f aca="false">Data!C164</f>
        <v>Sat</v>
      </c>
      <c r="C14" s="18" t="n">
        <f aca="false">AVERAGEIFS(Data!$E$103:$E$158,Data!$B$103:$B$158,Data!B164)/$C$5</f>
        <v>0.7796379530741</v>
      </c>
      <c r="D14" s="17" t="n">
        <f aca="false">ROUND($C$5*C14*(1+$C$6)^(INT(5/7)+1),0)</f>
        <v>1018</v>
      </c>
      <c r="E14" s="17" t="n">
        <f aca="false">Data!E164</f>
        <v>1085</v>
      </c>
      <c r="F14" s="27" t="n">
        <f aca="false">D14-E14</f>
        <v>-67</v>
      </c>
      <c r="G14" s="28" t="n">
        <f aca="false">ABS(F14)/E14</f>
        <v>0.0617511520737327</v>
      </c>
    </row>
    <row r="15" customFormat="false" ht="15" hidden="false" customHeight="false" outlineLevel="0" collapsed="false">
      <c r="A15" s="23" t="n">
        <f aca="false">Data!A165</f>
        <v>46243</v>
      </c>
      <c r="B15" s="16" t="str">
        <f aca="false">Data!C165</f>
        <v>Sun</v>
      </c>
      <c r="C15" s="18" t="n">
        <f aca="false">AVERAGEIFS(Data!$E$103:$E$158,Data!$B$103:$B$158,Data!B165)/$C$5</f>
        <v>0.753659642901324</v>
      </c>
      <c r="D15" s="17" t="n">
        <f aca="false">ROUND($C$5*C15*(1+$C$6)^(INT(6/7)+1),0)</f>
        <v>984</v>
      </c>
      <c r="E15" s="17" t="n">
        <f aca="false">Data!E165</f>
        <v>1034</v>
      </c>
      <c r="F15" s="27" t="n">
        <f aca="false">D15-E15</f>
        <v>-50</v>
      </c>
      <c r="G15" s="28" t="n">
        <f aca="false">ABS(F15)/E15</f>
        <v>0.0483558994197292</v>
      </c>
    </row>
    <row r="16" customFormat="false" ht="15" hidden="false" customHeight="false" outlineLevel="0" collapsed="false">
      <c r="A16" s="23" t="n">
        <f aca="false">Data!A166</f>
        <v>46244</v>
      </c>
      <c r="B16" s="16" t="str">
        <f aca="false">Data!C166</f>
        <v>Mon</v>
      </c>
      <c r="C16" s="18" t="n">
        <f aca="false">AVERAGEIFS(Data!$E$103:$E$158,Data!$B$103:$B$158,Data!B166)/$C$5</f>
        <v>1.25446373345429</v>
      </c>
      <c r="D16" s="17" t="n">
        <f aca="false">ROUND($C$5*C16*(1+$C$6)^(INT(7/7)+1),0)</f>
        <v>1646</v>
      </c>
      <c r="E16" s="17" t="n">
        <f aca="false">Data!E166</f>
        <v>1709</v>
      </c>
      <c r="F16" s="27" t="n">
        <f aca="false">D16-E16</f>
        <v>-63</v>
      </c>
      <c r="G16" s="28" t="n">
        <f aca="false">ABS(F16)/E16</f>
        <v>0.0368636629607958</v>
      </c>
    </row>
    <row r="17" customFormat="false" ht="15" hidden="false" customHeight="false" outlineLevel="0" collapsed="false">
      <c r="A17" s="23" t="n">
        <f aca="false">Data!A167</f>
        <v>46245</v>
      </c>
      <c r="B17" s="16" t="str">
        <f aca="false">Data!C167</f>
        <v>Tue</v>
      </c>
      <c r="C17" s="18" t="n">
        <f aca="false">AVERAGEIFS(Data!$E$103:$E$158,Data!$B$103:$B$158,Data!B167)/$C$5</f>
        <v>1.13390513105989</v>
      </c>
      <c r="D17" s="17" t="n">
        <f aca="false">ROUND($C$5*C17*(1+$C$6)^(INT(8/7)+1),0)</f>
        <v>1488</v>
      </c>
      <c r="E17" s="17" t="n">
        <f aca="false">Data!E167</f>
        <v>1518</v>
      </c>
      <c r="F17" s="27" t="n">
        <f aca="false">D17-E17</f>
        <v>-30</v>
      </c>
      <c r="G17" s="28" t="n">
        <f aca="false">ABS(F17)/E17</f>
        <v>0.0197628458498024</v>
      </c>
    </row>
    <row r="18" customFormat="false" ht="15" hidden="false" customHeight="false" outlineLevel="0" collapsed="false">
      <c r="A18" s="23" t="n">
        <f aca="false">Data!A168</f>
        <v>46246</v>
      </c>
      <c r="B18" s="16" t="str">
        <f aca="false">Data!C168</f>
        <v>Wed</v>
      </c>
      <c r="C18" s="18" t="n">
        <f aca="false">AVERAGEIFS(Data!$E$103:$E$158,Data!$B$103:$B$158,Data!B168)/$C$5</f>
        <v>1.08868362816654</v>
      </c>
      <c r="D18" s="17" t="n">
        <f aca="false">ROUND($C$5*C18*(1+$C$6)^(INT(9/7)+1),0)</f>
        <v>1429</v>
      </c>
      <c r="E18" s="17" t="n">
        <f aca="false">Data!E168</f>
        <v>1438</v>
      </c>
      <c r="F18" s="27" t="n">
        <f aca="false">D18-E18</f>
        <v>-9</v>
      </c>
      <c r="G18" s="28" t="n">
        <f aca="false">ABS(F18)/E18</f>
        <v>0.0062586926286509</v>
      </c>
    </row>
    <row r="19" customFormat="false" ht="15" hidden="false" customHeight="false" outlineLevel="0" collapsed="false">
      <c r="A19" s="23" t="n">
        <f aca="false">Data!A169</f>
        <v>46247</v>
      </c>
      <c r="B19" s="16" t="str">
        <f aca="false">Data!C169</f>
        <v>Thu</v>
      </c>
      <c r="C19" s="18" t="n">
        <f aca="false">AVERAGEIFS(Data!$E$103:$E$158,Data!$B$103:$B$158,Data!B169)/$C$5</f>
        <v>1.0205627259357</v>
      </c>
      <c r="D19" s="17" t="n">
        <f aca="false">ROUND($C$5*C19*(1+$C$6)^(INT(10/7)+1),0)</f>
        <v>1339</v>
      </c>
      <c r="E19" s="17" t="n">
        <f aca="false">Data!E169</f>
        <v>1336</v>
      </c>
      <c r="F19" s="27" t="n">
        <f aca="false">D19-E19</f>
        <v>3</v>
      </c>
      <c r="G19" s="28" t="n">
        <f aca="false">ABS(F19)/E19</f>
        <v>0.00224550898203593</v>
      </c>
    </row>
    <row r="20" customFormat="false" ht="15" hidden="false" customHeight="false" outlineLevel="0" collapsed="false">
      <c r="A20" s="23" t="n">
        <f aca="false">Data!A170</f>
        <v>46248</v>
      </c>
      <c r="B20" s="16" t="str">
        <f aca="false">Data!C170</f>
        <v>Fri</v>
      </c>
      <c r="C20" s="18" t="n">
        <f aca="false">AVERAGEIFS(Data!$E$103:$E$158,Data!$B$103:$B$158,Data!B170)/$C$5</f>
        <v>0.969087185408162</v>
      </c>
      <c r="D20" s="17" t="n">
        <f aca="false">ROUND($C$5*C20*(1+$C$6)^(INT(11/7)+1),0)</f>
        <v>1272</v>
      </c>
      <c r="E20" s="17" t="n">
        <f aca="false">Data!E170</f>
        <v>1334</v>
      </c>
      <c r="F20" s="27" t="n">
        <f aca="false">D20-E20</f>
        <v>-62</v>
      </c>
      <c r="G20" s="28" t="n">
        <f aca="false">ABS(F20)/E20</f>
        <v>0.0464767616191904</v>
      </c>
    </row>
    <row r="21" customFormat="false" ht="15" hidden="false" customHeight="false" outlineLevel="0" collapsed="false">
      <c r="A21" s="23" t="n">
        <f aca="false">Data!A171</f>
        <v>46249</v>
      </c>
      <c r="B21" s="16" t="str">
        <f aca="false">Data!C171</f>
        <v>Sat</v>
      </c>
      <c r="C21" s="18" t="n">
        <f aca="false">AVERAGEIFS(Data!$E$103:$E$158,Data!$B$103:$B$158,Data!B171)/$C$5</f>
        <v>0.7796379530741</v>
      </c>
      <c r="D21" s="17" t="n">
        <f aca="false">ROUND($C$5*C21*(1+$C$6)^(INT(12/7)+1),0)</f>
        <v>1023</v>
      </c>
      <c r="E21" s="17" t="n">
        <f aca="false">Data!E171</f>
        <v>1053</v>
      </c>
      <c r="F21" s="27" t="n">
        <f aca="false">D21-E21</f>
        <v>-30</v>
      </c>
      <c r="G21" s="28" t="n">
        <f aca="false">ABS(F21)/E21</f>
        <v>0.0284900284900285</v>
      </c>
    </row>
    <row r="22" customFormat="false" ht="15" hidden="false" customHeight="false" outlineLevel="0" collapsed="false">
      <c r="A22" s="23" t="n">
        <f aca="false">Data!A172</f>
        <v>46250</v>
      </c>
      <c r="B22" s="16" t="str">
        <f aca="false">Data!C172</f>
        <v>Sun</v>
      </c>
      <c r="C22" s="18" t="n">
        <f aca="false">AVERAGEIFS(Data!$E$103:$E$158,Data!$B$103:$B$158,Data!B172)/$C$5</f>
        <v>0.753659642901324</v>
      </c>
      <c r="D22" s="17" t="n">
        <f aca="false">ROUND($C$5*C22*(1+$C$6)^(INT(13/7)+1),0)</f>
        <v>989</v>
      </c>
      <c r="E22" s="17" t="n">
        <f aca="false">Data!E172</f>
        <v>1032</v>
      </c>
      <c r="F22" s="27" t="n">
        <f aca="false">D22-E22</f>
        <v>-43</v>
      </c>
      <c r="G22" s="28" t="n">
        <f aca="false">ABS(F22)/E22</f>
        <v>0.0416666666666667</v>
      </c>
    </row>
    <row r="23" customFormat="false" ht="15" hidden="false" customHeight="false" outlineLevel="0" collapsed="false">
      <c r="A23" s="23" t="n">
        <f aca="false">Data!A173</f>
        <v>46251</v>
      </c>
      <c r="B23" s="16" t="str">
        <f aca="false">Data!C173</f>
        <v>Mon</v>
      </c>
      <c r="C23" s="18" t="n">
        <f aca="false">AVERAGEIFS(Data!$E$103:$E$158,Data!$B$103:$B$158,Data!B173)/$C$5</f>
        <v>1.25446373345429</v>
      </c>
      <c r="D23" s="17" t="n">
        <f aca="false">ROUND($C$5*C23*(1+$C$6)^(INT(14/7)+1),0)</f>
        <v>1654</v>
      </c>
      <c r="E23" s="17" t="n">
        <f aca="false">Data!E173</f>
        <v>1668</v>
      </c>
      <c r="F23" s="27" t="n">
        <f aca="false">D23-E23</f>
        <v>-14</v>
      </c>
      <c r="G23" s="28" t="n">
        <f aca="false">ABS(F23)/E23</f>
        <v>0.00839328537170264</v>
      </c>
    </row>
    <row r="24" customFormat="false" ht="15" hidden="false" customHeight="false" outlineLevel="0" collapsed="false">
      <c r="A24" s="23" t="n">
        <f aca="false">Data!A174</f>
        <v>46252</v>
      </c>
      <c r="B24" s="16" t="str">
        <f aca="false">Data!C174</f>
        <v>Tue</v>
      </c>
      <c r="C24" s="18" t="n">
        <f aca="false">AVERAGEIFS(Data!$E$103:$E$158,Data!$B$103:$B$158,Data!B174)/$C$5</f>
        <v>1.13390513105989</v>
      </c>
      <c r="D24" s="17" t="n">
        <f aca="false">ROUND($C$5*C24*(1+$C$6)^(INT(15/7)+1),0)</f>
        <v>1495</v>
      </c>
      <c r="E24" s="17" t="n">
        <f aca="false">Data!E174</f>
        <v>1521</v>
      </c>
      <c r="F24" s="27" t="n">
        <f aca="false">D24-E24</f>
        <v>-26</v>
      </c>
      <c r="G24" s="28" t="n">
        <f aca="false">ABS(F24)/E24</f>
        <v>0.0170940170940171</v>
      </c>
    </row>
    <row r="25" customFormat="false" ht="15" hidden="false" customHeight="false" outlineLevel="0" collapsed="false">
      <c r="A25" s="23" t="n">
        <f aca="false">Data!A175</f>
        <v>46253</v>
      </c>
      <c r="B25" s="16" t="str">
        <f aca="false">Data!C175</f>
        <v>Wed</v>
      </c>
      <c r="C25" s="18" t="n">
        <f aca="false">AVERAGEIFS(Data!$E$103:$E$158,Data!$B$103:$B$158,Data!B175)/$C$5</f>
        <v>1.08868362816654</v>
      </c>
      <c r="D25" s="17" t="n">
        <f aca="false">ROUND($C$5*C25*(1+$C$6)^(INT(16/7)+1),0)</f>
        <v>1436</v>
      </c>
      <c r="E25" s="17" t="n">
        <f aca="false">Data!E175</f>
        <v>1497</v>
      </c>
      <c r="F25" s="27" t="n">
        <f aca="false">D25-E25</f>
        <v>-61</v>
      </c>
      <c r="G25" s="28" t="n">
        <f aca="false">ABS(F25)/E25</f>
        <v>0.040748162992652</v>
      </c>
    </row>
    <row r="26" customFormat="false" ht="15" hidden="false" customHeight="false" outlineLevel="0" collapsed="false">
      <c r="A26" s="23" t="n">
        <f aca="false">Data!A176</f>
        <v>46254</v>
      </c>
      <c r="B26" s="16" t="str">
        <f aca="false">Data!C176</f>
        <v>Thu</v>
      </c>
      <c r="C26" s="18" t="n">
        <f aca="false">AVERAGEIFS(Data!$E$103:$E$158,Data!$B$103:$B$158,Data!B176)/$C$5</f>
        <v>1.0205627259357</v>
      </c>
      <c r="D26" s="17" t="n">
        <f aca="false">ROUND($C$5*C26*(1+$C$6)^(INT(17/7)+1),0)</f>
        <v>1346</v>
      </c>
      <c r="E26" s="17" t="n">
        <f aca="false">Data!E176</f>
        <v>1433</v>
      </c>
      <c r="F26" s="27" t="n">
        <f aca="false">D26-E26</f>
        <v>-87</v>
      </c>
      <c r="G26" s="28" t="n">
        <f aca="false">ABS(F26)/E26</f>
        <v>0.060711793440335</v>
      </c>
    </row>
    <row r="27" customFormat="false" ht="15" hidden="false" customHeight="false" outlineLevel="0" collapsed="false">
      <c r="A27" s="23" t="n">
        <f aca="false">Data!A177</f>
        <v>46255</v>
      </c>
      <c r="B27" s="16" t="str">
        <f aca="false">Data!C177</f>
        <v>Fri</v>
      </c>
      <c r="C27" s="18" t="n">
        <f aca="false">AVERAGEIFS(Data!$E$103:$E$158,Data!$B$103:$B$158,Data!B177)/$C$5</f>
        <v>0.969087185408162</v>
      </c>
      <c r="D27" s="17" t="n">
        <f aca="false">ROUND($C$5*C27*(1+$C$6)^(INT(18/7)+1),0)</f>
        <v>1278</v>
      </c>
      <c r="E27" s="17" t="n">
        <f aca="false">Data!E177</f>
        <v>1349</v>
      </c>
      <c r="F27" s="27" t="n">
        <f aca="false">D27-E27</f>
        <v>-71</v>
      </c>
      <c r="G27" s="28" t="n">
        <f aca="false">ABS(F27)/E27</f>
        <v>0.0526315789473684</v>
      </c>
    </row>
    <row r="28" customFormat="false" ht="15" hidden="false" customHeight="false" outlineLevel="0" collapsed="false">
      <c r="A28" s="23" t="n">
        <f aca="false">Data!A178</f>
        <v>46256</v>
      </c>
      <c r="B28" s="16" t="str">
        <f aca="false">Data!C178</f>
        <v>Sat</v>
      </c>
      <c r="C28" s="18" t="n">
        <f aca="false">AVERAGEIFS(Data!$E$103:$E$158,Data!$B$103:$B$158,Data!B178)/$C$5</f>
        <v>0.7796379530741</v>
      </c>
      <c r="D28" s="17" t="n">
        <f aca="false">ROUND($C$5*C28*(1+$C$6)^(INT(19/7)+1),0)</f>
        <v>1028</v>
      </c>
      <c r="E28" s="17" t="n">
        <f aca="false">Data!E178</f>
        <v>1081</v>
      </c>
      <c r="F28" s="27" t="n">
        <f aca="false">D28-E28</f>
        <v>-53</v>
      </c>
      <c r="G28" s="28" t="n">
        <f aca="false">ABS(F28)/E28</f>
        <v>0.0490286771507863</v>
      </c>
    </row>
    <row r="29" customFormat="false" ht="15" hidden="false" customHeight="false" outlineLevel="0" collapsed="false">
      <c r="A29" s="23" t="n">
        <f aca="false">Data!A179</f>
        <v>46257</v>
      </c>
      <c r="B29" s="16" t="str">
        <f aca="false">Data!C179</f>
        <v>Sun</v>
      </c>
      <c r="C29" s="18" t="n">
        <f aca="false">AVERAGEIFS(Data!$E$103:$E$158,Data!$B$103:$B$158,Data!B179)/$C$5</f>
        <v>0.753659642901324</v>
      </c>
      <c r="D29" s="17" t="n">
        <f aca="false">ROUND($C$5*C29*(1+$C$6)^(INT(20/7)+1),0)</f>
        <v>994</v>
      </c>
      <c r="E29" s="17" t="n">
        <f aca="false">Data!E179</f>
        <v>1040</v>
      </c>
      <c r="F29" s="27" t="n">
        <f aca="false">D29-E29</f>
        <v>-46</v>
      </c>
      <c r="G29" s="28" t="n">
        <f aca="false">ABS(F29)/E29</f>
        <v>0.0442307692307692</v>
      </c>
    </row>
    <row r="30" customFormat="false" ht="15" hidden="false" customHeight="false" outlineLevel="0" collapsed="false">
      <c r="A30" s="23" t="n">
        <f aca="false">Data!A180</f>
        <v>46258</v>
      </c>
      <c r="B30" s="16" t="str">
        <f aca="false">Data!C180</f>
        <v>Mon</v>
      </c>
      <c r="C30" s="18" t="n">
        <f aca="false">AVERAGEIFS(Data!$E$103:$E$158,Data!$B$103:$B$158,Data!B180)/$C$5</f>
        <v>1.25446373345429</v>
      </c>
      <c r="D30" s="17" t="n">
        <f aca="false">ROUND($C$5*C30*(1+$C$6)^(INT(21/7)+1),0)</f>
        <v>1663</v>
      </c>
      <c r="E30" s="17" t="n">
        <f aca="false">Data!E180</f>
        <v>1732</v>
      </c>
      <c r="F30" s="27" t="n">
        <f aca="false">D30-E30</f>
        <v>-69</v>
      </c>
      <c r="G30" s="28" t="n">
        <f aca="false">ABS(F30)/E30</f>
        <v>0.039838337182448</v>
      </c>
    </row>
    <row r="31" customFormat="false" ht="15" hidden="false" customHeight="false" outlineLevel="0" collapsed="false">
      <c r="A31" s="23" t="n">
        <f aca="false">Data!A181</f>
        <v>46259</v>
      </c>
      <c r="B31" s="16" t="str">
        <f aca="false">Data!C181</f>
        <v>Tue</v>
      </c>
      <c r="C31" s="18" t="n">
        <f aca="false">AVERAGEIFS(Data!$E$103:$E$158,Data!$B$103:$B$158,Data!B181)/$C$5</f>
        <v>1.13390513105989</v>
      </c>
      <c r="D31" s="17" t="n">
        <f aca="false">ROUND($C$5*C31*(1+$C$6)^(INT(22/7)+1),0)</f>
        <v>1503</v>
      </c>
      <c r="E31" s="17" t="n">
        <f aca="false">Data!E181</f>
        <v>1529</v>
      </c>
      <c r="F31" s="27" t="n">
        <f aca="false">D31-E31</f>
        <v>-26</v>
      </c>
      <c r="G31" s="28" t="n">
        <f aca="false">ABS(F31)/E31</f>
        <v>0.0170045781556573</v>
      </c>
    </row>
    <row r="32" customFormat="false" ht="15" hidden="false" customHeight="false" outlineLevel="0" collapsed="false">
      <c r="A32" s="23" t="n">
        <f aca="false">Data!A182</f>
        <v>46260</v>
      </c>
      <c r="B32" s="16" t="str">
        <f aca="false">Data!C182</f>
        <v>Wed</v>
      </c>
      <c r="C32" s="18" t="n">
        <f aca="false">AVERAGEIFS(Data!$E$103:$E$158,Data!$B$103:$B$158,Data!B182)/$C$5</f>
        <v>1.08868362816654</v>
      </c>
      <c r="D32" s="17" t="n">
        <f aca="false">ROUND($C$5*C32*(1+$C$6)^(INT(23/7)+1),0)</f>
        <v>1443</v>
      </c>
      <c r="E32" s="17" t="n">
        <f aca="false">Data!E182</f>
        <v>1470</v>
      </c>
      <c r="F32" s="27" t="n">
        <f aca="false">D32-E32</f>
        <v>-27</v>
      </c>
      <c r="G32" s="28" t="n">
        <f aca="false">ABS(F32)/E32</f>
        <v>0.0183673469387755</v>
      </c>
    </row>
    <row r="33" customFormat="false" ht="15" hidden="false" customHeight="false" outlineLevel="0" collapsed="false">
      <c r="A33" s="23" t="n">
        <f aca="false">Data!A183</f>
        <v>46261</v>
      </c>
      <c r="B33" s="16" t="str">
        <f aca="false">Data!C183</f>
        <v>Thu</v>
      </c>
      <c r="C33" s="18" t="n">
        <f aca="false">AVERAGEIFS(Data!$E$103:$E$158,Data!$B$103:$B$158,Data!B183)/$C$5</f>
        <v>1.0205627259357</v>
      </c>
      <c r="D33" s="17" t="n">
        <f aca="false">ROUND($C$5*C33*(1+$C$6)^(INT(24/7)+1),0)</f>
        <v>1353</v>
      </c>
      <c r="E33" s="17" t="n">
        <f aca="false">Data!E183</f>
        <v>1371</v>
      </c>
      <c r="F33" s="27" t="n">
        <f aca="false">D33-E33</f>
        <v>-18</v>
      </c>
      <c r="G33" s="28" t="n">
        <f aca="false">ABS(F33)/E33</f>
        <v>0.013129102844639</v>
      </c>
    </row>
    <row r="34" customFormat="false" ht="15" hidden="false" customHeight="false" outlineLevel="0" collapsed="false">
      <c r="A34" s="23" t="n">
        <f aca="false">Data!A184</f>
        <v>46262</v>
      </c>
      <c r="B34" s="16" t="str">
        <f aca="false">Data!C184</f>
        <v>Fri</v>
      </c>
      <c r="C34" s="18" t="n">
        <f aca="false">AVERAGEIFS(Data!$E$103:$E$158,Data!$B$103:$B$158,Data!B184)/$C$5</f>
        <v>0.969087185408162</v>
      </c>
      <c r="D34" s="17" t="n">
        <f aca="false">ROUND($C$5*C34*(1+$C$6)^(INT(25/7)+1),0)</f>
        <v>1284</v>
      </c>
      <c r="E34" s="17" t="n">
        <f aca="false">Data!E184</f>
        <v>1269</v>
      </c>
      <c r="F34" s="27" t="n">
        <f aca="false">D34-E34</f>
        <v>15</v>
      </c>
      <c r="G34" s="28" t="n">
        <f aca="false">ABS(F34)/E34</f>
        <v>0.0118203309692671</v>
      </c>
    </row>
    <row r="35" customFormat="false" ht="15" hidden="false" customHeight="false" outlineLevel="0" collapsed="false">
      <c r="A35" s="23" t="n">
        <f aca="false">Data!A185</f>
        <v>46263</v>
      </c>
      <c r="B35" s="16" t="str">
        <f aca="false">Data!C185</f>
        <v>Sat</v>
      </c>
      <c r="C35" s="18" t="n">
        <f aca="false">AVERAGEIFS(Data!$E$103:$E$158,Data!$B$103:$B$158,Data!B185)/$C$5</f>
        <v>0.7796379530741</v>
      </c>
      <c r="D35" s="17" t="n">
        <f aca="false">ROUND($C$5*C35*(1+$C$6)^(INT(26/7)+1),0)</f>
        <v>1033</v>
      </c>
      <c r="E35" s="17" t="n">
        <f aca="false">Data!E185</f>
        <v>1020</v>
      </c>
      <c r="F35" s="27" t="n">
        <f aca="false">D35-E35</f>
        <v>13</v>
      </c>
      <c r="G35" s="28" t="n">
        <f aca="false">ABS(F35)/E35</f>
        <v>0.0127450980392157</v>
      </c>
    </row>
    <row r="36" customFormat="false" ht="15" hidden="false" customHeight="false" outlineLevel="0" collapsed="false">
      <c r="A36" s="23" t="n">
        <f aca="false">Data!A186</f>
        <v>46264</v>
      </c>
      <c r="B36" s="16" t="str">
        <f aca="false">Data!C186</f>
        <v>Sun</v>
      </c>
      <c r="C36" s="18" t="n">
        <f aca="false">AVERAGEIFS(Data!$E$103:$E$158,Data!$B$103:$B$158,Data!B186)/$C$5</f>
        <v>0.753659642901324</v>
      </c>
      <c r="D36" s="17" t="n">
        <f aca="false">ROUND($C$5*C36*(1+$C$6)^(INT(27/7)+1),0)</f>
        <v>999</v>
      </c>
      <c r="E36" s="17" t="n">
        <f aca="false">Data!E186</f>
        <v>1002</v>
      </c>
      <c r="F36" s="27" t="n">
        <f aca="false">D36-E36</f>
        <v>-3</v>
      </c>
      <c r="G36" s="28" t="n">
        <f aca="false">ABS(F36)/E36</f>
        <v>0.0029940119760479</v>
      </c>
    </row>
    <row r="38" customFormat="false" ht="15" hidden="false" customHeight="false" outlineLevel="0" collapsed="false">
      <c r="A38" s="12" t="s">
        <v>58</v>
      </c>
      <c r="G38" s="29" t="n">
        <f aca="false">AVERAGE(G9:G36)</f>
        <v>0.0278341120313043</v>
      </c>
    </row>
    <row r="39" customFormat="false" ht="15" hidden="false" customHeight="false" outlineLevel="0" collapsed="false">
      <c r="A39" s="12" t="s">
        <v>59</v>
      </c>
      <c r="G39" s="29" t="n">
        <f aca="false">SUMPRODUCT(ABS(F9:F36))/SUM(E9:E36)</f>
        <v>0.0272488944204645</v>
      </c>
    </row>
    <row r="40" customFormat="false" ht="15" hidden="false" customHeight="false" outlineLevel="0" collapsed="false">
      <c r="A40" s="12" t="s">
        <v>60</v>
      </c>
      <c r="G40" s="30" t="n">
        <f aca="false">SUM(F9:F36)/SUM(E9:E36)</f>
        <v>-0.0246007997245982</v>
      </c>
    </row>
    <row r="41" customFormat="false" ht="15" hidden="false" customHeight="false" outlineLevel="0" collapsed="false">
      <c r="A41" s="12" t="s">
        <v>61</v>
      </c>
      <c r="G41" s="31" t="str">
        <f aca="false">IF(G38&lt;=0.05,"Under 5%: a good daily forecast.",IF(G38&lt;=0.1,"5% to 10%: usable; look at the worst days.","Over 10%: check the pattern and the history window."))</f>
        <v>Under 5%: a good daily forecast.</v>
      </c>
    </row>
  </sheetData>
  <mergeCells count="1">
    <mergeCell ref="A2:H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G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46"/>
    <col collapsed="false" customWidth="true" hidden="false" outlineLevel="0" max="3" min="3" style="0" width="44"/>
    <col collapsed="false" customWidth="true" hidden="false" outlineLevel="0" max="4" min="4" style="0" width="14"/>
    <col collapsed="false" customWidth="true" hidden="false" outlineLevel="0" max="5" min="5" style="0" width="12"/>
    <col collapsed="false" customWidth="true" hidden="true" outlineLevel="0" max="7" min="7" style="0" width="13"/>
  </cols>
  <sheetData>
    <row r="1" customFormat="false" ht="22.05" hidden="false" customHeight="false" outlineLevel="0" collapsed="false">
      <c r="A1" s="11" t="s">
        <v>62</v>
      </c>
    </row>
    <row r="2" customFormat="false" ht="30" hidden="false" customHeight="true" outlineLevel="0" collapsed="false">
      <c r="A2" s="7" t="s">
        <v>63</v>
      </c>
      <c r="B2" s="7"/>
      <c r="C2" s="7"/>
      <c r="D2" s="7"/>
      <c r="E2" s="7"/>
    </row>
    <row r="4" customFormat="false" ht="15" hidden="false" customHeight="false" outlineLevel="0" collapsed="false">
      <c r="A4" s="8" t="s">
        <v>64</v>
      </c>
      <c r="B4" s="8" t="s">
        <v>65</v>
      </c>
      <c r="C4" s="8" t="s">
        <v>66</v>
      </c>
      <c r="D4" s="8" t="s">
        <v>67</v>
      </c>
      <c r="E4" s="8" t="s">
        <v>68</v>
      </c>
    </row>
    <row r="5" customFormat="false" ht="43.5" hidden="false" customHeight="true" outlineLevel="0" collapsed="false">
      <c r="A5" s="32" t="n">
        <v>1</v>
      </c>
      <c r="B5" s="32" t="s">
        <v>69</v>
      </c>
      <c r="C5" s="32" t="s">
        <v>70</v>
      </c>
      <c r="D5" s="33"/>
      <c r="E5" s="32" t="str">
        <f aca="false">IF(D5="","",IF(ISNUMBER(D5),IF(ABS(D5-G5)&lt;=1,"Correct","Not yet"),"Type a number"))</f>
        <v/>
      </c>
      <c r="G5" s="34" t="n">
        <f aca="false">'Weekday pattern'!C10</f>
        <v>1659.125</v>
      </c>
    </row>
    <row r="6" customFormat="false" ht="43.5" hidden="false" customHeight="true" outlineLevel="0" collapsed="false">
      <c r="A6" s="32" t="n">
        <v>2</v>
      </c>
      <c r="B6" s="32" t="s">
        <v>71</v>
      </c>
      <c r="C6" s="32" t="s">
        <v>72</v>
      </c>
      <c r="D6" s="35"/>
      <c r="E6" s="32" t="str">
        <f aca="false">IF(D6="","",IF(ISNUMBER(D6),IF(ABS(D6-G6)&lt;=0.01,"Correct","Not yet"),"Type a number"))</f>
        <v/>
      </c>
      <c r="G6" s="36" t="n">
        <f aca="false">'Weekday pattern'!D15</f>
        <v>0.779273886549818</v>
      </c>
    </row>
    <row r="7" customFormat="false" ht="43.5" hidden="false" customHeight="true" outlineLevel="0" collapsed="false">
      <c r="A7" s="32" t="n">
        <v>3</v>
      </c>
      <c r="B7" s="32" t="s">
        <v>73</v>
      </c>
      <c r="C7" s="32" t="s">
        <v>74</v>
      </c>
      <c r="D7" s="33"/>
      <c r="E7" s="32" t="str">
        <f aca="false">IF(D7="","",IF(ISNUMBER(D7),IF(ABS(D7-G7)&lt;=1,"Correct","Not yet"),"Type a number"))</f>
        <v/>
      </c>
      <c r="G7" s="34" t="n">
        <f aca="false">Forecast!B39</f>
        <v>9339</v>
      </c>
    </row>
    <row r="8" customFormat="false" ht="43.5" hidden="false" customHeight="true" outlineLevel="0" collapsed="false">
      <c r="A8" s="32" t="n">
        <v>4</v>
      </c>
      <c r="B8" s="32" t="s">
        <v>75</v>
      </c>
      <c r="C8" s="32" t="s">
        <v>76</v>
      </c>
      <c r="D8" s="37"/>
      <c r="E8" s="32" t="str">
        <f aca="false">IF(D8="","",IF(ISNUMBER(D8),IF(ABS(D8-G8)&lt;=0.0006,"Correct","Not yet"),"Type a number"))</f>
        <v/>
      </c>
      <c r="G8" s="38" t="n">
        <f aca="false">Accuracy!G38</f>
        <v>0.0278341120313043</v>
      </c>
    </row>
    <row r="9" customFormat="false" ht="43.5" hidden="false" customHeight="true" outlineLevel="0" collapsed="false">
      <c r="A9" s="32" t="n">
        <v>5</v>
      </c>
      <c r="B9" s="32" t="s">
        <v>77</v>
      </c>
      <c r="C9" s="32" t="s">
        <v>78</v>
      </c>
      <c r="D9" s="39"/>
      <c r="E9" s="32" t="str">
        <f aca="false">IF(D9="","",IF(LOWER(TRIM(D9))=LOWER(G9),"Correct","Not yet"))</f>
        <v/>
      </c>
      <c r="G9" s="40" t="str">
        <f aca="false">IF(Accuracy!G40&gt;0,"High","Low")</f>
        <v>Low</v>
      </c>
    </row>
    <row r="11" customFormat="false" ht="30" hidden="false" customHeight="true" outlineLevel="0" collapsed="false">
      <c r="A11" s="7" t="s">
        <v>79</v>
      </c>
      <c r="B11" s="7"/>
      <c r="C11" s="7"/>
      <c r="D11" s="7"/>
      <c r="E11" s="7"/>
    </row>
  </sheetData>
  <mergeCells count="2">
    <mergeCell ref="A2:E2"/>
    <mergeCell ref="A11:E1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2026-10-21T17:41:45Z</dcterms:created>
  <dc:creator>openpyxl</dc:creator>
  <dc:description/>
  <dc:language>en-US</dc:language>
  <cp:lastModifiedBy/>
  <dcterms:modified xsi:type="dcterms:W3CDTF">2026-10-21T17:41:48Z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